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20" yWindow="0" windowWidth="19100" windowHeight="8420" activeTab="0"/>
  </bookViews>
  <sheets>
    <sheet name="Inddata" sheetId="1" r:id="rId1"/>
    <sheet name="Printdata" sheetId="2" r:id="rId2"/>
    <sheet name="Beregning" sheetId="3" state="hidden" r:id="rId3"/>
  </sheets>
  <definedNames>
    <definedName name="_xlnm.Print_Area" localSheetId="2">'Beregning'!#REF!</definedName>
    <definedName name="_xlnm.Print_Area" localSheetId="1">'Printdata'!$A$1:$E$124</definedName>
  </definedNames>
  <calcPr fullCalcOnLoad="1"/>
</workbook>
</file>

<file path=xl/sharedStrings.xml><?xml version="1.0" encoding="utf-8"?>
<sst xmlns="http://schemas.openxmlformats.org/spreadsheetml/2006/main" count="582" uniqueCount="223">
  <si>
    <t>Anvendelse:</t>
  </si>
  <si>
    <t>[mm]</t>
  </si>
  <si>
    <t>Indtast:</t>
  </si>
  <si>
    <t>Tværsnitsareal, A</t>
  </si>
  <si>
    <t>Profilbredde, b</t>
  </si>
  <si>
    <t>Profilhøjde, h</t>
  </si>
  <si>
    <t>G</t>
  </si>
  <si>
    <t>Bygherre data:</t>
  </si>
  <si>
    <t>Bygherre:</t>
  </si>
  <si>
    <t>Adresse:</t>
  </si>
  <si>
    <t>Post nummer / By:</t>
  </si>
  <si>
    <t>Telefon:</t>
  </si>
  <si>
    <t>Hans Hansen</t>
  </si>
  <si>
    <t>Byvej 1</t>
  </si>
  <si>
    <t>0000 Bykøbing</t>
  </si>
  <si>
    <t>Nyttelast</t>
  </si>
  <si>
    <t>Anvendelse</t>
  </si>
  <si>
    <t>Egenlast</t>
  </si>
  <si>
    <t>[N]</t>
  </si>
  <si>
    <t>Vægt, N/m</t>
  </si>
  <si>
    <t>Opstillingssted</t>
  </si>
  <si>
    <t>[]</t>
  </si>
  <si>
    <t>Materialer</t>
  </si>
  <si>
    <t>DS/EN 10025</t>
  </si>
  <si>
    <t>S235</t>
  </si>
  <si>
    <t>Flydespænding</t>
  </si>
  <si>
    <t>[N/mm²]</t>
  </si>
  <si>
    <t>Trækspænding</t>
  </si>
  <si>
    <t>Lastkombination, brudgrænse</t>
  </si>
  <si>
    <t>DS/EN 1990, Afsnit 6.4.1</t>
  </si>
  <si>
    <t>EQU</t>
  </si>
  <si>
    <t>Konsekvensklasse</t>
  </si>
  <si>
    <t>DS/EN 1993-4-1, Afsnit 2.2</t>
  </si>
  <si>
    <t>CC2</t>
  </si>
  <si>
    <t>Kontrolklasse</t>
  </si>
  <si>
    <t>DS/EN 1990, National Anneks</t>
  </si>
  <si>
    <t>Lempet</t>
  </si>
  <si>
    <t>Materialecertifikat</t>
  </si>
  <si>
    <t>DS/EN 10204</t>
  </si>
  <si>
    <t>2.2</t>
  </si>
  <si>
    <t>Svejsesømkarakter</t>
  </si>
  <si>
    <t>C</t>
  </si>
  <si>
    <t>Kontrol af svejsesømme, NDT</t>
  </si>
  <si>
    <t>DS/EN 1090-2:2008</t>
  </si>
  <si>
    <t>[%]</t>
  </si>
  <si>
    <t>Partialkoefficient, svigtform, 1</t>
  </si>
  <si>
    <t>Partialkoefficient, beregningsmodel, 2</t>
  </si>
  <si>
    <t>Partialkoefficient, kontrol, 3</t>
  </si>
  <si>
    <t>Partialkoefficient, variation, 4</t>
  </si>
  <si>
    <t>Partialkoefficient, samlet modstandsevne</t>
  </si>
  <si>
    <t>Partialkoefficient, konstruktionsdele</t>
  </si>
  <si>
    <t>Partialkoefficient, nyttelast</t>
  </si>
  <si>
    <t>Multiplikationsfaktor, konsekvensklasse</t>
  </si>
  <si>
    <t>E</t>
  </si>
  <si>
    <t>Elasticitetsmodul</t>
  </si>
  <si>
    <t>CC1</t>
  </si>
  <si>
    <t>Normal</t>
  </si>
  <si>
    <t>3.1</t>
  </si>
  <si>
    <t>Beregningsforudsætninger</t>
  </si>
  <si>
    <t>[Nmm]</t>
  </si>
  <si>
    <t>F u</t>
  </si>
  <si>
    <t>γ 1</t>
  </si>
  <si>
    <t>γ 4</t>
  </si>
  <si>
    <t>γ M</t>
  </si>
  <si>
    <t>γ GJ,sup</t>
  </si>
  <si>
    <t>γ Q,1</t>
  </si>
  <si>
    <t>K FI</t>
  </si>
  <si>
    <t>Udbøjning</t>
  </si>
  <si>
    <t>Tilladelig udbøjning</t>
  </si>
  <si>
    <t>Udnyttelsesgrad, bæreevne</t>
  </si>
  <si>
    <t>Konklusion, bæreevne</t>
  </si>
  <si>
    <t>Konklusion, udbøjning</t>
  </si>
  <si>
    <t>DS/EN 1993-1-1, National Anneks</t>
  </si>
  <si>
    <t>Profiltykkelse, t</t>
  </si>
  <si>
    <t>Vægt, kg/m</t>
  </si>
  <si>
    <t>mm</t>
  </si>
  <si>
    <t>mm2</t>
  </si>
  <si>
    <t>mm4</t>
  </si>
  <si>
    <t>N/m</t>
  </si>
  <si>
    <t>kg/m</t>
  </si>
  <si>
    <t>Beregninger</t>
  </si>
  <si>
    <t>Vange dimension, valgt:</t>
  </si>
  <si>
    <t>Tilknyttede standarder</t>
  </si>
  <si>
    <t>Eurocode 0: Projekteringsgrundlag</t>
  </si>
  <si>
    <t>DS/EN 1990</t>
  </si>
  <si>
    <t>Eurocode 1: Last, Del 1-1, Generelle laster</t>
  </si>
  <si>
    <t>DS/EN 1991-1-1</t>
  </si>
  <si>
    <t>Eurocode 3: Stålkons., Del 1-1, Generelle regler</t>
  </si>
  <si>
    <t>DS/EN 1993-1-1</t>
  </si>
  <si>
    <t>[kg/m]</t>
  </si>
  <si>
    <r>
      <t xml:space="preserve">F </t>
    </r>
    <r>
      <rPr>
        <sz val="10"/>
        <rFont val="Arial"/>
        <family val="2"/>
      </rPr>
      <t>y</t>
    </r>
  </si>
  <si>
    <t>γ 2</t>
  </si>
  <si>
    <t>γ 3</t>
  </si>
  <si>
    <r>
      <t>[mm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</si>
  <si>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[mm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]</t>
    </r>
  </si>
  <si>
    <t>Bygherre</t>
  </si>
  <si>
    <t>99 99 99 99</t>
  </si>
  <si>
    <t>B</t>
  </si>
  <si>
    <t>D</t>
  </si>
  <si>
    <t>b</t>
  </si>
  <si>
    <t>Bæreevne</t>
  </si>
  <si>
    <t>Vægt</t>
  </si>
  <si>
    <t>Profil</t>
  </si>
  <si>
    <t>Danmark</t>
  </si>
  <si>
    <t>Nøgle</t>
  </si>
  <si>
    <t>Reaktioner</t>
  </si>
  <si>
    <t>h/t</t>
  </si>
  <si>
    <t>DS/EN 1993-1-1, Afsnit 6.2.5</t>
  </si>
  <si>
    <t>Reduktionsfaktor som uafstivet profil?</t>
  </si>
  <si>
    <t>Inertimoment, Iy</t>
  </si>
  <si>
    <t>F y</t>
  </si>
  <si>
    <t>F z</t>
  </si>
  <si>
    <t>L</t>
  </si>
  <si>
    <r>
      <t>[kg</t>
    </r>
    <r>
      <rPr>
        <sz val="10"/>
        <color indexed="8"/>
        <rFont val="Arial"/>
        <family val="2"/>
      </rPr>
      <t>]</t>
    </r>
  </si>
  <si>
    <t>Lodret nyttelast</t>
  </si>
  <si>
    <t>Vandret nyttelast</t>
  </si>
  <si>
    <t>Bjælkelængde</t>
  </si>
  <si>
    <t>Profil dimension, valgt:</t>
  </si>
  <si>
    <t>Valgt profil:</t>
  </si>
  <si>
    <t>Konsekvensklasse, CC1</t>
  </si>
  <si>
    <t>Konsekvensklasse, CC2</t>
  </si>
  <si>
    <t>Konsekvensklasse, CC3</t>
  </si>
  <si>
    <t>CC3</t>
  </si>
  <si>
    <t>3.2</t>
  </si>
  <si>
    <t xml:space="preserve">Q </t>
  </si>
  <si>
    <t>Egenlast af valgt profil</t>
  </si>
  <si>
    <t>Moment, lodret</t>
  </si>
  <si>
    <t>Moment, vandret</t>
  </si>
  <si>
    <t>Regningsmæssig bøjningsspænding, fra F y</t>
  </si>
  <si>
    <t>Regningsmæssig bøjningsspænding, fra F z</t>
  </si>
  <si>
    <t>Regningsmæssig forskydningsspænding</t>
  </si>
  <si>
    <t>kombineret regningsmæssig spænding</t>
  </si>
  <si>
    <t>Bæreevne bestemmelse</t>
  </si>
  <si>
    <t>σ Rd</t>
  </si>
  <si>
    <t>Tilladelig spænding</t>
  </si>
  <si>
    <t>UG σ</t>
  </si>
  <si>
    <t>u Rd</t>
  </si>
  <si>
    <t>UG y u</t>
  </si>
  <si>
    <t>UG z u</t>
  </si>
  <si>
    <t>Udnyttelsesgrad, lodret udbøjning</t>
  </si>
  <si>
    <t>Udnyttelsesgrad, vandret udbøjning</t>
  </si>
  <si>
    <t>UG z U</t>
  </si>
  <si>
    <t>UG y U</t>
  </si>
  <si>
    <t>Skærpet</t>
  </si>
  <si>
    <t>NDT</t>
  </si>
  <si>
    <t>B+</t>
  </si>
  <si>
    <t>Inertimoment, Iz</t>
  </si>
  <si>
    <t>HEA 100</t>
  </si>
  <si>
    <t>HEA 120</t>
  </si>
  <si>
    <t>HEA 140</t>
  </si>
  <si>
    <t>HEA 160</t>
  </si>
  <si>
    <t>UG B</t>
  </si>
  <si>
    <t>DS/EN 5817</t>
  </si>
  <si>
    <t>Valgt last og fysisk mål</t>
  </si>
  <si>
    <t>Profil, valgt</t>
  </si>
  <si>
    <r>
      <t>[mm</t>
    </r>
    <r>
      <rPr>
        <sz val="10"/>
        <color indexed="8"/>
        <rFont val="Arial"/>
        <family val="2"/>
      </rPr>
      <t>]</t>
    </r>
  </si>
  <si>
    <t>h</t>
  </si>
  <si>
    <t>A</t>
  </si>
  <si>
    <t>I y</t>
  </si>
  <si>
    <t>I z</t>
  </si>
  <si>
    <t>Profilhøjde</t>
  </si>
  <si>
    <t>Profilbredde</t>
  </si>
  <si>
    <t>Tværsnitsareal</t>
  </si>
  <si>
    <t>Inertimoment</t>
  </si>
  <si>
    <t>Konsekvensklasse, CC3, skærpet m. stabilitetsfaktor 1,2</t>
  </si>
  <si>
    <t>Simpelt undertsøttet bjælke</t>
  </si>
  <si>
    <t>a</t>
  </si>
  <si>
    <t>Længde fra ende 1 til lastpunkt</t>
  </si>
  <si>
    <t>Længde fra ende 2 til lastpunkt</t>
  </si>
  <si>
    <t>Beregnet fysisk mål:</t>
  </si>
  <si>
    <t>Tværspænding</t>
  </si>
  <si>
    <t>Regningsmæssig spænding, punkt x, (x = a)</t>
  </si>
  <si>
    <t>T a Ed</t>
  </si>
  <si>
    <t>M a z Ed</t>
  </si>
  <si>
    <t>M a y Ed</t>
  </si>
  <si>
    <t>Regningsmæssig spænding, punkt x, (x = L/2)</t>
  </si>
  <si>
    <t>σ a y Ed</t>
  </si>
  <si>
    <t>σ a z Ed</t>
  </si>
  <si>
    <r>
      <rPr>
        <sz val="10"/>
        <color indexed="8"/>
        <rFont val="Calibri"/>
        <family val="2"/>
      </rPr>
      <t>τ</t>
    </r>
    <r>
      <rPr>
        <sz val="10"/>
        <color indexed="8"/>
        <rFont val="Arial"/>
        <family val="2"/>
      </rPr>
      <t xml:space="preserve"> a Ed</t>
    </r>
  </si>
  <si>
    <t>σ komb a Ed</t>
  </si>
  <si>
    <t>T L/2 Ed</t>
  </si>
  <si>
    <t>M L/2 y Ed</t>
  </si>
  <si>
    <t>M L/2 z Ed</t>
  </si>
  <si>
    <t>σ L/2 y Ed</t>
  </si>
  <si>
    <t>σ L/2 z Ed</t>
  </si>
  <si>
    <r>
      <rPr>
        <sz val="10"/>
        <color indexed="8"/>
        <rFont val="Calibri"/>
        <family val="2"/>
      </rPr>
      <t>τ</t>
    </r>
    <r>
      <rPr>
        <sz val="10"/>
        <color indexed="8"/>
        <rFont val="Arial"/>
        <family val="2"/>
      </rPr>
      <t xml:space="preserve"> L/2 Ed</t>
    </r>
  </si>
  <si>
    <t>σ komb L/2 Ed</t>
  </si>
  <si>
    <t>Udbøjning, punkt x, (x = L/2)</t>
  </si>
  <si>
    <t>Udbøjning, punkt x, (x = a)</t>
  </si>
  <si>
    <t xml:space="preserve">u a y </t>
  </si>
  <si>
    <t>u a y 1</t>
  </si>
  <si>
    <t>u a y 2</t>
  </si>
  <si>
    <t>Lodret udbøjning</t>
  </si>
  <si>
    <t>Lodret udbøjning, fra egenlast</t>
  </si>
  <si>
    <t>Lodret udbøjning, fra nyttelast</t>
  </si>
  <si>
    <t>u a z</t>
  </si>
  <si>
    <t>Udbøjningsbestemmelse</t>
  </si>
  <si>
    <t>u L/2 y 1</t>
  </si>
  <si>
    <t>u L/2 y 2</t>
  </si>
  <si>
    <t xml:space="preserve">u L/2 y </t>
  </si>
  <si>
    <t>u L/2 z</t>
  </si>
  <si>
    <t>Vandret udbøjning, fra nyttelast</t>
  </si>
  <si>
    <t>Ændres med pilene</t>
  </si>
  <si>
    <t>OK hvis udnyttelsesgrad, UG, ikke overstiger 1,00</t>
  </si>
  <si>
    <t>= indtastningsfelter</t>
  </si>
  <si>
    <t>=vejledningstekst</t>
  </si>
  <si>
    <t>Udskrift: Tryk på fanen "Printdata" og derefter ikonet "udskriv"</t>
  </si>
  <si>
    <t>R 1 y</t>
  </si>
  <si>
    <t>R 1 z</t>
  </si>
  <si>
    <t>R 2 y</t>
  </si>
  <si>
    <t>R 2 z</t>
  </si>
  <si>
    <t>Reaktion 1, lodret</t>
  </si>
  <si>
    <t>Reaktion 1, vandret</t>
  </si>
  <si>
    <t>Reaktion 2, lodret</t>
  </si>
  <si>
    <t>Reaktion 2, vandret</t>
  </si>
  <si>
    <t>Regningsmæssig spænding, punkt 1</t>
  </si>
  <si>
    <t>T 1 Ed</t>
  </si>
  <si>
    <r>
      <rPr>
        <sz val="10"/>
        <color indexed="8"/>
        <rFont val="Calibri"/>
        <family val="2"/>
      </rPr>
      <t>τ</t>
    </r>
    <r>
      <rPr>
        <sz val="10"/>
        <color indexed="8"/>
        <rFont val="Arial"/>
        <family val="2"/>
      </rPr>
      <t xml:space="preserve"> 1 Ed</t>
    </r>
  </si>
  <si>
    <t>σ komb 1 Ed</t>
  </si>
  <si>
    <t>Regningsmæssig spænding, punkt 2</t>
  </si>
  <si>
    <t>T 2 Ed</t>
  </si>
  <si>
    <r>
      <rPr>
        <sz val="10"/>
        <color indexed="8"/>
        <rFont val="Calibri"/>
        <family val="2"/>
      </rPr>
      <t>τ</t>
    </r>
    <r>
      <rPr>
        <sz val="10"/>
        <color indexed="8"/>
        <rFont val="Arial"/>
        <family val="2"/>
      </rPr>
      <t xml:space="preserve"> 2 Ed</t>
    </r>
  </si>
  <si>
    <t>σ komb 2 Ed</t>
  </si>
</sst>
</file>

<file path=xl/styles.xml><?xml version="1.0" encoding="utf-8"?>
<styleSheet xmlns="http://schemas.openxmlformats.org/spreadsheetml/2006/main">
  <numFmts count="1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[$-F800]dddd\,\ mmmm\ dd\,\ yyyy"/>
    <numFmt numFmtId="173" formatCode="[$-406]d\.\ mmmm\ yyyy"/>
    <numFmt numFmtId="174" formatCode="[$-406]dddd\ &quot;den&quot;\ d\.\ mmmm\ 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2" applyNumberFormat="0" applyAlignment="0" applyProtection="0"/>
    <xf numFmtId="0" fontId="40" fillId="25" borderId="3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0" fontId="53" fillId="0" borderId="0" xfId="0" applyFont="1" applyAlignment="1">
      <alignment horizontal="right"/>
    </xf>
    <xf numFmtId="0" fontId="51" fillId="0" borderId="0" xfId="0" applyFont="1" applyAlignment="1" applyProtection="1">
      <alignment/>
      <protection/>
    </xf>
    <xf numFmtId="3" fontId="51" fillId="0" borderId="0" xfId="0" applyNumberFormat="1" applyFont="1" applyAlignment="1">
      <alignment horizontal="right"/>
    </xf>
    <xf numFmtId="3" fontId="51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" fontId="51" fillId="0" borderId="0" xfId="0" applyNumberFormat="1" applyFont="1" applyAlignment="1">
      <alignment/>
    </xf>
    <xf numFmtId="0" fontId="51" fillId="0" borderId="0" xfId="0" applyFont="1" applyAlignment="1" applyProtection="1">
      <alignment horizontal="left"/>
      <protection/>
    </xf>
    <xf numFmtId="4" fontId="51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51" fillId="16" borderId="0" xfId="0" applyFont="1" applyFill="1" applyAlignment="1" applyProtection="1">
      <alignment horizontal="right"/>
      <protection locked="0"/>
    </xf>
    <xf numFmtId="3" fontId="53" fillId="0" borderId="0" xfId="0" applyNumberFormat="1" applyFont="1" applyAlignment="1">
      <alignment horizontal="right"/>
    </xf>
    <xf numFmtId="0" fontId="51" fillId="16" borderId="0" xfId="0" applyFont="1" applyFill="1" applyAlignment="1" applyProtection="1">
      <alignment/>
      <protection/>
    </xf>
    <xf numFmtId="0" fontId="51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4" fontId="51" fillId="0" borderId="0" xfId="0" applyNumberFormat="1" applyFont="1" applyAlignment="1" applyProtection="1">
      <alignment horizontal="left"/>
      <protection/>
    </xf>
    <xf numFmtId="3" fontId="51" fillId="16" borderId="0" xfId="0" applyNumberFormat="1" applyFont="1" applyFill="1" applyAlignment="1" applyProtection="1">
      <alignment/>
      <protection locked="0"/>
    </xf>
    <xf numFmtId="4" fontId="51" fillId="0" borderId="0" xfId="0" applyNumberFormat="1" applyFont="1" applyAlignment="1" applyProtection="1">
      <alignment/>
      <protection locked="0"/>
    </xf>
    <xf numFmtId="4" fontId="51" fillId="0" borderId="0" xfId="0" applyNumberFormat="1" applyFont="1" applyAlignment="1" applyProtection="1">
      <alignment/>
      <protection/>
    </xf>
    <xf numFmtId="4" fontId="52" fillId="0" borderId="0" xfId="0" applyNumberFormat="1" applyFont="1" applyAlignment="1" applyProtection="1">
      <alignment horizontal="right"/>
      <protection/>
    </xf>
    <xf numFmtId="0" fontId="51" fillId="0" borderId="10" xfId="0" applyFont="1" applyBorder="1" applyAlignment="1" applyProtection="1">
      <alignment horizontal="right"/>
      <protection/>
    </xf>
    <xf numFmtId="0" fontId="51" fillId="0" borderId="0" xfId="0" applyFont="1" applyAlignment="1" applyProtection="1">
      <alignment horizontal="right"/>
      <protection/>
    </xf>
    <xf numFmtId="3" fontId="51" fillId="0" borderId="0" xfId="0" applyNumberFormat="1" applyFont="1" applyAlignment="1" applyProtection="1">
      <alignment horizontal="right"/>
      <protection/>
    </xf>
    <xf numFmtId="4" fontId="51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3" fontId="51" fillId="0" borderId="0" xfId="0" applyNumberFormat="1" applyFont="1" applyAlignment="1" applyProtection="1">
      <alignment/>
      <protection/>
    </xf>
    <xf numFmtId="0" fontId="51" fillId="19" borderId="0" xfId="0" applyFont="1" applyFill="1" applyAlignment="1" applyProtection="1">
      <alignment/>
      <protection/>
    </xf>
    <xf numFmtId="0" fontId="51" fillId="16" borderId="0" xfId="0" applyFont="1" applyFill="1" applyAlignment="1" applyProtection="1">
      <alignment/>
      <protection locked="0"/>
    </xf>
    <xf numFmtId="0" fontId="51" fillId="0" borderId="0" xfId="0" applyFont="1" applyAlignment="1" applyProtection="1" quotePrefix="1">
      <alignment/>
      <protection/>
    </xf>
    <xf numFmtId="0" fontId="51" fillId="19" borderId="0" xfId="0" applyFont="1" applyFill="1" applyAlignment="1">
      <alignment/>
    </xf>
    <xf numFmtId="0" fontId="4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72" fontId="54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Input" xfId="42"/>
    <cellStyle name="Kontrollé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27</xdr:row>
      <xdr:rowOff>66675</xdr:rowOff>
    </xdr:from>
    <xdr:to>
      <xdr:col>1</xdr:col>
      <xdr:colOff>1647825</xdr:colOff>
      <xdr:row>30</xdr:row>
      <xdr:rowOff>171450</xdr:rowOff>
    </xdr:to>
    <xdr:sp>
      <xdr:nvSpPr>
        <xdr:cNvPr id="1" name="Lige pilforbindelse 2"/>
        <xdr:cNvSpPr>
          <a:spLocks/>
        </xdr:cNvSpPr>
      </xdr:nvSpPr>
      <xdr:spPr>
        <a:xfrm rot="10800000" flipV="1">
          <a:off x="1666875" y="4505325"/>
          <a:ext cx="590550" cy="6762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476250</xdr:colOff>
      <xdr:row>19</xdr:row>
      <xdr:rowOff>4695825</xdr:rowOff>
    </xdr:to>
    <xdr:pic>
      <xdr:nvPicPr>
        <xdr:cNvPr id="1" name="Billede 4" descr="Understøttet bjælk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696277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C5" sqref="C5"/>
    </sheetView>
  </sheetViews>
  <sheetFormatPr defaultColWidth="9.140625" defaultRowHeight="15"/>
  <cols>
    <col min="1" max="1" width="9.140625" style="7" customWidth="1"/>
    <col min="2" max="2" width="32.00390625" style="7" customWidth="1"/>
    <col min="3" max="3" width="11.421875" style="7" bestFit="1" customWidth="1"/>
    <col min="4" max="4" width="6.8515625" style="7" customWidth="1"/>
    <col min="5" max="5" width="21.00390625" style="7" customWidth="1"/>
    <col min="6" max="11" width="11.28125" style="7" customWidth="1"/>
    <col min="12" max="16384" width="9.140625" style="7" customWidth="1"/>
  </cols>
  <sheetData>
    <row r="1" ht="12">
      <c r="A1" s="21" t="s">
        <v>165</v>
      </c>
    </row>
    <row r="3" ht="12">
      <c r="A3" s="21" t="s">
        <v>2</v>
      </c>
    </row>
    <row r="4" spans="1:5" ht="12.75">
      <c r="A4" s="7" t="s">
        <v>0</v>
      </c>
      <c r="D4" s="22" t="str">
        <f>HLOOKUP(Beregning!C4,Beregning!G4:J6,3)</f>
        <v>Konsekvensklasse, CC2</v>
      </c>
      <c r="E4" s="19"/>
    </row>
    <row r="5" spans="1:5" ht="12.75">
      <c r="A5" s="7" t="s">
        <v>110</v>
      </c>
      <c r="B5" s="7" t="s">
        <v>114</v>
      </c>
      <c r="C5" s="24">
        <v>300</v>
      </c>
      <c r="D5" s="7" t="s">
        <v>113</v>
      </c>
      <c r="E5" s="34" t="s">
        <v>202</v>
      </c>
    </row>
    <row r="6" spans="1:4" ht="12">
      <c r="A6" s="7" t="s">
        <v>111</v>
      </c>
      <c r="B6" s="7" t="s">
        <v>115</v>
      </c>
      <c r="C6" s="24">
        <v>40</v>
      </c>
      <c r="D6" s="7" t="s">
        <v>113</v>
      </c>
    </row>
    <row r="7" spans="1:4" ht="12">
      <c r="A7" s="7" t="s">
        <v>112</v>
      </c>
      <c r="B7" s="7" t="s">
        <v>116</v>
      </c>
      <c r="C7" s="24">
        <v>5000</v>
      </c>
      <c r="D7" s="7" t="s">
        <v>1</v>
      </c>
    </row>
    <row r="8" spans="1:5" ht="12">
      <c r="A8" s="7" t="s">
        <v>166</v>
      </c>
      <c r="B8" s="7" t="s">
        <v>167</v>
      </c>
      <c r="C8" s="24">
        <v>2000</v>
      </c>
      <c r="D8" s="7" t="s">
        <v>1</v>
      </c>
      <c r="E8" s="7" t="str">
        <f>IF(C8&gt;C7,"a kan ikke være større end L"," ")</f>
        <v> </v>
      </c>
    </row>
    <row r="10" ht="12">
      <c r="A10" s="21" t="s">
        <v>169</v>
      </c>
    </row>
    <row r="11" spans="1:4" ht="12">
      <c r="A11" s="7" t="s">
        <v>99</v>
      </c>
      <c r="B11" s="7" t="s">
        <v>168</v>
      </c>
      <c r="C11" s="33">
        <f>C7-C8</f>
        <v>3000</v>
      </c>
      <c r="D11" s="7" t="s">
        <v>1</v>
      </c>
    </row>
    <row r="13" ht="12">
      <c r="A13" s="21" t="s">
        <v>7</v>
      </c>
    </row>
    <row r="14" spans="1:3" ht="12">
      <c r="A14" s="7" t="s">
        <v>8</v>
      </c>
      <c r="C14" s="17" t="s">
        <v>12</v>
      </c>
    </row>
    <row r="15" spans="1:3" ht="12">
      <c r="A15" s="7" t="s">
        <v>9</v>
      </c>
      <c r="C15" s="17" t="s">
        <v>13</v>
      </c>
    </row>
    <row r="16" spans="1:3" ht="12">
      <c r="A16" s="7" t="s">
        <v>10</v>
      </c>
      <c r="C16" s="17" t="s">
        <v>14</v>
      </c>
    </row>
    <row r="17" spans="1:3" ht="12">
      <c r="A17" s="7" t="s">
        <v>11</v>
      </c>
      <c r="C17" s="17" t="s">
        <v>96</v>
      </c>
    </row>
    <row r="19" spans="1:10" ht="12">
      <c r="A19" s="21" t="s">
        <v>117</v>
      </c>
      <c r="F19" s="14" t="s">
        <v>100</v>
      </c>
      <c r="G19" s="14" t="s">
        <v>151</v>
      </c>
      <c r="H19" s="14" t="s">
        <v>67</v>
      </c>
      <c r="I19" s="14" t="s">
        <v>142</v>
      </c>
      <c r="J19" s="14" t="s">
        <v>141</v>
      </c>
    </row>
    <row r="20" spans="1:10" ht="12.75">
      <c r="A20" s="7" t="s">
        <v>118</v>
      </c>
      <c r="D20" s="22" t="str">
        <f>Beregning!C19</f>
        <v>IPE 140</v>
      </c>
      <c r="E20" s="19"/>
      <c r="F20" s="23" t="str">
        <f>Beregning!D98</f>
        <v>OK</v>
      </c>
      <c r="G20" s="23">
        <f>Beregning!D97</f>
        <v>0.49163533240275215</v>
      </c>
      <c r="H20" s="7" t="str">
        <f>Beregning!D116</f>
        <v>OK</v>
      </c>
      <c r="I20" s="23">
        <f>Beregning!D114</f>
        <v>0.5930948896810727</v>
      </c>
      <c r="J20" s="23">
        <f>Beregning!D115</f>
        <v>0.834305511365645</v>
      </c>
    </row>
    <row r="21" spans="5:10" ht="12.75">
      <c r="E21" s="34" t="s">
        <v>202</v>
      </c>
      <c r="F21" s="34" t="s">
        <v>203</v>
      </c>
      <c r="G21" s="34"/>
      <c r="H21" s="34"/>
      <c r="I21" s="34"/>
      <c r="J21" s="34"/>
    </row>
    <row r="23" spans="1:2" ht="12">
      <c r="A23" s="35"/>
      <c r="B23" s="36" t="s">
        <v>204</v>
      </c>
    </row>
    <row r="24" spans="1:2" ht="12">
      <c r="A24" s="34"/>
      <c r="B24" s="36" t="s">
        <v>205</v>
      </c>
    </row>
    <row r="27" spans="1:10" ht="13.5">
      <c r="A27"/>
      <c r="B27" s="37" t="s">
        <v>206</v>
      </c>
      <c r="C27" s="34"/>
      <c r="D27" s="34"/>
      <c r="E27" s="34"/>
      <c r="F27"/>
      <c r="G27"/>
      <c r="H27"/>
      <c r="I27"/>
      <c r="J27"/>
    </row>
  </sheetData>
  <sheetProtection password="C447" sheet="1" objects="1" scenarios="1" selectLockedCells="1"/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4"/>
  <sheetViews>
    <sheetView workbookViewId="0" topLeftCell="A1">
      <selection activeCell="F1" sqref="F1"/>
    </sheetView>
  </sheetViews>
  <sheetFormatPr defaultColWidth="9.140625" defaultRowHeight="15"/>
  <cols>
    <col min="1" max="1" width="13.421875" style="1" customWidth="1"/>
    <col min="2" max="2" width="41.140625" style="1" customWidth="1"/>
    <col min="3" max="3" width="29.421875" style="1" customWidth="1"/>
    <col min="4" max="4" width="13.28125" style="1" customWidth="1"/>
    <col min="5" max="5" width="7.28125" style="1" customWidth="1"/>
    <col min="6" max="16384" width="9.140625" style="1" customWidth="1"/>
  </cols>
  <sheetData>
    <row r="2" spans="1:5" s="16" customFormat="1" ht="16.5">
      <c r="A2" s="39" t="s">
        <v>95</v>
      </c>
      <c r="B2" s="39"/>
      <c r="C2" s="39"/>
      <c r="D2" s="39"/>
      <c r="E2" s="39"/>
    </row>
    <row r="3" spans="1:5" s="16" customFormat="1" ht="16.5">
      <c r="A3" s="40" t="str">
        <f>Inddata!C14</f>
        <v>Hans Hansen</v>
      </c>
      <c r="B3" s="40"/>
      <c r="C3" s="40"/>
      <c r="D3" s="40"/>
      <c r="E3" s="40"/>
    </row>
    <row r="4" spans="1:5" s="16" customFormat="1" ht="16.5">
      <c r="A4" s="40" t="str">
        <f>Inddata!C15</f>
        <v>Byvej 1</v>
      </c>
      <c r="B4" s="40"/>
      <c r="C4" s="40"/>
      <c r="D4" s="40"/>
      <c r="E4" s="40"/>
    </row>
    <row r="5" spans="1:5" s="16" customFormat="1" ht="16.5">
      <c r="A5" s="40" t="str">
        <f>Inddata!C16</f>
        <v>0000 Bykøbing</v>
      </c>
      <c r="B5" s="40"/>
      <c r="C5" s="40"/>
      <c r="D5" s="40"/>
      <c r="E5" s="40"/>
    </row>
    <row r="6" spans="1:5" s="16" customFormat="1" ht="16.5">
      <c r="A6" s="40" t="str">
        <f>Inddata!C17</f>
        <v>99 99 99 99</v>
      </c>
      <c r="B6" s="40"/>
      <c r="C6" s="40"/>
      <c r="D6" s="40"/>
      <c r="E6" s="40"/>
    </row>
    <row r="7" spans="1:5" s="16" customFormat="1" ht="16.5">
      <c r="A7" s="40"/>
      <c r="B7" s="40"/>
      <c r="C7" s="40"/>
      <c r="D7" s="40"/>
      <c r="E7" s="40"/>
    </row>
    <row r="8" spans="1:5" s="16" customFormat="1" ht="16.5">
      <c r="A8" s="39" t="s">
        <v>80</v>
      </c>
      <c r="B8" s="39"/>
      <c r="C8" s="39"/>
      <c r="D8" s="39"/>
      <c r="E8" s="39"/>
    </row>
    <row r="9" spans="1:5" s="16" customFormat="1" ht="16.5">
      <c r="A9" s="40" t="str">
        <f>Inddata!C7&amp;" mm lang simpelt understøttet bjælke, "&amp;Inddata!D20</f>
        <v>5000 mm lang simpelt understøttet bjælke, IPE 140</v>
      </c>
      <c r="B9" s="40"/>
      <c r="C9" s="40"/>
      <c r="D9" s="40"/>
      <c r="E9" s="40"/>
    </row>
    <row r="10" spans="1:5" s="16" customFormat="1" ht="16.5">
      <c r="A10" s="40"/>
      <c r="B10" s="40"/>
      <c r="C10" s="40"/>
      <c r="D10" s="40"/>
      <c r="E10" s="40"/>
    </row>
    <row r="11" spans="1:5" s="16" customFormat="1" ht="16.5">
      <c r="A11" s="41">
        <f ca="1">TODAY()</f>
        <v>42409</v>
      </c>
      <c r="B11" s="41"/>
      <c r="C11" s="41"/>
      <c r="D11" s="41"/>
      <c r="E11" s="41"/>
    </row>
    <row r="12" spans="1:5" ht="15">
      <c r="A12" s="38"/>
      <c r="B12" s="38"/>
      <c r="C12" s="38"/>
      <c r="D12" s="38"/>
      <c r="E12" s="38"/>
    </row>
    <row r="13" spans="1:5" ht="15">
      <c r="A13" s="42"/>
      <c r="B13" s="42"/>
      <c r="C13" s="42"/>
      <c r="D13" s="42"/>
      <c r="E13" s="42"/>
    </row>
    <row r="14" spans="1:5" ht="15">
      <c r="A14" s="38"/>
      <c r="B14" s="38"/>
      <c r="C14" s="38"/>
      <c r="D14" s="38"/>
      <c r="E14" s="38"/>
    </row>
    <row r="16" spans="1:5" ht="15">
      <c r="A16" s="5" t="s">
        <v>82</v>
      </c>
      <c r="B16" s="7"/>
      <c r="C16" s="7"/>
      <c r="D16" s="7"/>
      <c r="E16" s="3"/>
    </row>
    <row r="17" spans="1:5" ht="15">
      <c r="A17" s="14">
        <v>2007</v>
      </c>
      <c r="B17" s="7" t="s">
        <v>83</v>
      </c>
      <c r="C17" s="7" t="s">
        <v>84</v>
      </c>
      <c r="D17" s="3"/>
      <c r="E17" s="3"/>
    </row>
    <row r="18" spans="1:5" ht="15">
      <c r="A18" s="14">
        <v>2007</v>
      </c>
      <c r="B18" s="7" t="s">
        <v>85</v>
      </c>
      <c r="C18" s="7" t="s">
        <v>86</v>
      </c>
      <c r="D18" s="3"/>
      <c r="E18" s="3"/>
    </row>
    <row r="19" spans="1:5" ht="15">
      <c r="A19" s="14">
        <v>2007</v>
      </c>
      <c r="B19" s="7" t="s">
        <v>87</v>
      </c>
      <c r="C19" s="7" t="s">
        <v>88</v>
      </c>
      <c r="D19" s="3"/>
      <c r="E19" s="3"/>
    </row>
    <row r="20" spans="1:5" ht="372.75" customHeight="1">
      <c r="A20" s="3"/>
      <c r="B20" s="3"/>
      <c r="C20" s="3"/>
      <c r="D20" s="3"/>
      <c r="E20" s="3"/>
    </row>
    <row r="21" spans="1:5" ht="15">
      <c r="A21" s="2" t="s">
        <v>16</v>
      </c>
      <c r="B21" s="2"/>
      <c r="C21" s="2"/>
      <c r="D21" s="18"/>
      <c r="E21" s="6" t="str">
        <f>Inddata!D4</f>
        <v>Konsekvensklasse, CC2</v>
      </c>
    </row>
    <row r="22" spans="1:5" ht="15">
      <c r="A22" s="3"/>
      <c r="B22" s="3"/>
      <c r="C22" s="3"/>
      <c r="D22" s="8"/>
      <c r="E22" s="4"/>
    </row>
    <row r="23" spans="1:5" ht="15">
      <c r="A23" s="2" t="s">
        <v>153</v>
      </c>
      <c r="B23" s="3"/>
      <c r="C23" s="3"/>
      <c r="D23" s="8"/>
      <c r="E23" s="4"/>
    </row>
    <row r="24" spans="1:5" ht="15">
      <c r="A24" s="3" t="s">
        <v>110</v>
      </c>
      <c r="B24" s="3" t="s">
        <v>114</v>
      </c>
      <c r="C24" s="3"/>
      <c r="D24" s="8">
        <f>Beregning!C5</f>
        <v>300</v>
      </c>
      <c r="E24" s="3" t="s">
        <v>113</v>
      </c>
    </row>
    <row r="25" spans="1:5" ht="15">
      <c r="A25" s="3" t="s">
        <v>111</v>
      </c>
      <c r="B25" s="3" t="s">
        <v>115</v>
      </c>
      <c r="C25" s="3"/>
      <c r="D25" s="8">
        <f>Beregning!C6</f>
        <v>40</v>
      </c>
      <c r="E25" s="3" t="s">
        <v>113</v>
      </c>
    </row>
    <row r="26" spans="1:5" ht="15">
      <c r="A26" s="7" t="s">
        <v>112</v>
      </c>
      <c r="B26" s="7" t="s">
        <v>116</v>
      </c>
      <c r="C26" s="3"/>
      <c r="D26" s="8">
        <f>Beregning!C7</f>
        <v>5000</v>
      </c>
      <c r="E26" s="3" t="s">
        <v>1</v>
      </c>
    </row>
    <row r="27" spans="1:5" ht="15">
      <c r="A27" s="7" t="s">
        <v>166</v>
      </c>
      <c r="B27" s="7" t="s">
        <v>167</v>
      </c>
      <c r="C27" s="3"/>
      <c r="D27" s="8">
        <f>Beregning!C8</f>
        <v>2000</v>
      </c>
      <c r="E27" s="3" t="s">
        <v>1</v>
      </c>
    </row>
    <row r="28" spans="1:5" ht="15">
      <c r="A28" s="3"/>
      <c r="B28" s="3"/>
      <c r="C28" s="3"/>
      <c r="D28" s="8"/>
      <c r="E28" s="3"/>
    </row>
    <row r="29" spans="1:5" ht="15">
      <c r="A29" s="2" t="s">
        <v>169</v>
      </c>
      <c r="B29" s="7"/>
      <c r="C29" s="3"/>
      <c r="D29" s="8"/>
      <c r="E29" s="3"/>
    </row>
    <row r="30" spans="1:5" ht="15">
      <c r="A30" s="3" t="s">
        <v>99</v>
      </c>
      <c r="B30" s="3" t="s">
        <v>168</v>
      </c>
      <c r="C30" s="3"/>
      <c r="D30" s="8">
        <f>Beregning!C11</f>
        <v>3000</v>
      </c>
      <c r="E30" s="3" t="s">
        <v>1</v>
      </c>
    </row>
    <row r="31" spans="1:5" ht="15">
      <c r="A31" s="3"/>
      <c r="B31" s="3"/>
      <c r="C31" s="3"/>
      <c r="D31" s="8"/>
      <c r="E31" s="3"/>
    </row>
    <row r="32" spans="1:5" ht="15">
      <c r="A32" s="2" t="s">
        <v>154</v>
      </c>
      <c r="B32" s="3"/>
      <c r="C32" s="3"/>
      <c r="D32" s="8"/>
      <c r="E32" s="3"/>
    </row>
    <row r="33" spans="1:5" ht="15">
      <c r="A33" s="3" t="s">
        <v>118</v>
      </c>
      <c r="B33" s="3"/>
      <c r="C33" s="3"/>
      <c r="D33" s="8"/>
      <c r="E33" s="18" t="str">
        <f>Beregning!C19</f>
        <v>IPE 140</v>
      </c>
    </row>
    <row r="34" spans="1:5" ht="15">
      <c r="A34" s="3" t="s">
        <v>156</v>
      </c>
      <c r="B34" s="3" t="s">
        <v>160</v>
      </c>
      <c r="C34" s="3"/>
      <c r="D34" s="8">
        <f>Beregning!I19</f>
        <v>140</v>
      </c>
      <c r="E34" s="9" t="s">
        <v>155</v>
      </c>
    </row>
    <row r="35" spans="1:5" ht="15">
      <c r="A35" s="3" t="s">
        <v>99</v>
      </c>
      <c r="B35" s="3" t="s">
        <v>161</v>
      </c>
      <c r="C35" s="3"/>
      <c r="D35" s="8">
        <f>Beregning!J19</f>
        <v>73</v>
      </c>
      <c r="E35" s="9" t="s">
        <v>155</v>
      </c>
    </row>
    <row r="36" spans="1:5" ht="15">
      <c r="A36" s="3" t="s">
        <v>157</v>
      </c>
      <c r="B36" s="3" t="s">
        <v>162</v>
      </c>
      <c r="C36" s="3"/>
      <c r="D36" s="8">
        <f>Beregning!E19</f>
        <v>1640</v>
      </c>
      <c r="E36" s="9" t="s">
        <v>93</v>
      </c>
    </row>
    <row r="37" spans="1:5" ht="15">
      <c r="A37" s="3" t="s">
        <v>158</v>
      </c>
      <c r="B37" s="3" t="s">
        <v>163</v>
      </c>
      <c r="C37" s="3"/>
      <c r="D37" s="8">
        <f>Beregning!F19</f>
        <v>5410000</v>
      </c>
      <c r="E37" s="9" t="s">
        <v>94</v>
      </c>
    </row>
    <row r="38" spans="1:5" ht="15">
      <c r="A38" s="3" t="s">
        <v>159</v>
      </c>
      <c r="B38" s="3" t="s">
        <v>163</v>
      </c>
      <c r="C38" s="3"/>
      <c r="D38" s="8">
        <f>Beregning!G19</f>
        <v>449000</v>
      </c>
      <c r="E38" s="9" t="s">
        <v>94</v>
      </c>
    </row>
    <row r="39" spans="1:5" ht="15">
      <c r="A39" s="3" t="s">
        <v>6</v>
      </c>
      <c r="B39" s="3" t="s">
        <v>101</v>
      </c>
      <c r="C39" s="3"/>
      <c r="D39" s="8">
        <f>Beregning!H19/10</f>
        <v>12.874</v>
      </c>
      <c r="E39" s="9" t="s">
        <v>89</v>
      </c>
    </row>
    <row r="40" spans="1:5" ht="15">
      <c r="A40" s="3"/>
      <c r="B40" s="3"/>
      <c r="C40" s="3"/>
      <c r="D40" s="8"/>
      <c r="E40" s="8"/>
    </row>
    <row r="41" spans="1:5" ht="15">
      <c r="A41" s="10" t="s">
        <v>15</v>
      </c>
      <c r="B41" s="10"/>
      <c r="C41" s="3"/>
      <c r="D41" s="8"/>
      <c r="E41" s="3"/>
    </row>
    <row r="42" spans="1:5" ht="15">
      <c r="A42" s="3" t="s">
        <v>110</v>
      </c>
      <c r="B42" s="3" t="s">
        <v>114</v>
      </c>
      <c r="C42" s="3"/>
      <c r="D42" s="8">
        <f>Beregning!D34</f>
        <v>3000</v>
      </c>
      <c r="E42" s="3" t="s">
        <v>18</v>
      </c>
    </row>
    <row r="43" spans="1:5" ht="15">
      <c r="A43" s="3" t="s">
        <v>111</v>
      </c>
      <c r="B43" s="3" t="s">
        <v>115</v>
      </c>
      <c r="C43" s="3"/>
      <c r="D43" s="8">
        <f>Beregning!D35</f>
        <v>400</v>
      </c>
      <c r="E43" s="3" t="s">
        <v>18</v>
      </c>
    </row>
    <row r="44" spans="1:5" ht="15">
      <c r="A44" s="3"/>
      <c r="B44" s="3"/>
      <c r="C44" s="3"/>
      <c r="D44" s="8"/>
      <c r="E44" s="3"/>
    </row>
    <row r="45" spans="1:5" ht="15">
      <c r="A45" s="2" t="s">
        <v>17</v>
      </c>
      <c r="B45" s="3"/>
      <c r="C45" s="3"/>
      <c r="D45" s="8"/>
      <c r="E45" s="3"/>
    </row>
    <row r="46" spans="1:5" ht="15">
      <c r="A46" s="3" t="s">
        <v>124</v>
      </c>
      <c r="B46" s="3" t="s">
        <v>125</v>
      </c>
      <c r="C46" s="3"/>
      <c r="D46" s="8">
        <f>Beregning!D38</f>
        <v>643.7</v>
      </c>
      <c r="E46" s="3" t="s">
        <v>18</v>
      </c>
    </row>
    <row r="47" spans="1:5" ht="15">
      <c r="A47" s="3"/>
      <c r="B47" s="3"/>
      <c r="C47" s="3"/>
      <c r="D47" s="8"/>
      <c r="E47" s="3"/>
    </row>
    <row r="48" spans="1:5" ht="15">
      <c r="A48" s="2" t="s">
        <v>58</v>
      </c>
      <c r="B48" s="3"/>
      <c r="C48" s="3"/>
      <c r="D48" s="8"/>
      <c r="E48" s="3"/>
    </row>
    <row r="49" spans="1:5" ht="15">
      <c r="A49" s="3"/>
      <c r="B49" s="7" t="s">
        <v>20</v>
      </c>
      <c r="C49" s="7"/>
      <c r="D49" s="8" t="str">
        <f>Beregning!D41</f>
        <v>Danmark</v>
      </c>
      <c r="E49" s="7" t="s">
        <v>21</v>
      </c>
    </row>
    <row r="50" spans="1:5" ht="15">
      <c r="A50" s="7"/>
      <c r="B50" s="7" t="s">
        <v>22</v>
      </c>
      <c r="C50" s="7" t="s">
        <v>23</v>
      </c>
      <c r="D50" s="8" t="str">
        <f>Beregning!D42</f>
        <v>S235</v>
      </c>
      <c r="E50" s="7" t="s">
        <v>21</v>
      </c>
    </row>
    <row r="51" spans="1:5" ht="15">
      <c r="A51" s="7" t="s">
        <v>90</v>
      </c>
      <c r="B51" s="7" t="s">
        <v>25</v>
      </c>
      <c r="C51" s="7" t="s">
        <v>23</v>
      </c>
      <c r="D51" s="8">
        <f>Beregning!D43</f>
        <v>235</v>
      </c>
      <c r="E51" s="7" t="s">
        <v>26</v>
      </c>
    </row>
    <row r="52" spans="1:5" ht="15">
      <c r="A52" s="12" t="s">
        <v>60</v>
      </c>
      <c r="B52" s="12" t="s">
        <v>27</v>
      </c>
      <c r="C52" s="12" t="s">
        <v>23</v>
      </c>
      <c r="D52" s="8">
        <f>Beregning!D44</f>
        <v>360</v>
      </c>
      <c r="E52" s="7" t="s">
        <v>26</v>
      </c>
    </row>
    <row r="53" spans="1:5" ht="15">
      <c r="A53" s="7"/>
      <c r="B53" s="7" t="s">
        <v>28</v>
      </c>
      <c r="C53" s="7" t="s">
        <v>29</v>
      </c>
      <c r="D53" s="8" t="str">
        <f>Beregning!D45</f>
        <v>EQU</v>
      </c>
      <c r="E53" s="7" t="s">
        <v>21</v>
      </c>
    </row>
    <row r="54" spans="1:5" ht="15">
      <c r="A54" s="7"/>
      <c r="B54" s="7" t="s">
        <v>31</v>
      </c>
      <c r="C54" s="7" t="s">
        <v>32</v>
      </c>
      <c r="D54" s="8" t="str">
        <f>Beregning!D46</f>
        <v>CC2</v>
      </c>
      <c r="E54" s="7" t="s">
        <v>21</v>
      </c>
    </row>
    <row r="55" spans="1:5" ht="15">
      <c r="A55" s="7"/>
      <c r="B55" s="7" t="s">
        <v>34</v>
      </c>
      <c r="C55" s="12" t="s">
        <v>35</v>
      </c>
      <c r="D55" s="8" t="str">
        <f>Beregning!D47</f>
        <v>Normal</v>
      </c>
      <c r="E55" s="7" t="s">
        <v>21</v>
      </c>
    </row>
    <row r="56" spans="1:5" ht="15">
      <c r="A56" s="7"/>
      <c r="B56" s="7" t="s">
        <v>37</v>
      </c>
      <c r="C56" s="7" t="s">
        <v>38</v>
      </c>
      <c r="D56" s="8" t="str">
        <f>Beregning!D48</f>
        <v>3.1</v>
      </c>
      <c r="E56" s="7" t="s">
        <v>21</v>
      </c>
    </row>
    <row r="57" spans="1:5" ht="15">
      <c r="A57" s="7"/>
      <c r="B57" s="7" t="s">
        <v>40</v>
      </c>
      <c r="C57" s="7" t="s">
        <v>152</v>
      </c>
      <c r="D57" s="8" t="str">
        <f>Beregning!D49</f>
        <v>C</v>
      </c>
      <c r="E57" s="7" t="s">
        <v>21</v>
      </c>
    </row>
    <row r="58" spans="1:5" ht="15">
      <c r="A58" s="7"/>
      <c r="B58" s="7" t="s">
        <v>42</v>
      </c>
      <c r="C58" s="7" t="s">
        <v>43</v>
      </c>
      <c r="D58" s="8">
        <f>Beregning!D50</f>
        <v>10</v>
      </c>
      <c r="E58" s="7" t="s">
        <v>44</v>
      </c>
    </row>
    <row r="59" spans="1:5" ht="15">
      <c r="A59" s="12" t="s">
        <v>61</v>
      </c>
      <c r="B59" s="12" t="s">
        <v>45</v>
      </c>
      <c r="C59" s="12" t="s">
        <v>35</v>
      </c>
      <c r="D59" s="15">
        <f>Beregning!D51</f>
        <v>1</v>
      </c>
      <c r="E59" s="7" t="s">
        <v>21</v>
      </c>
    </row>
    <row r="60" spans="1:5" ht="15">
      <c r="A60" s="12" t="s">
        <v>91</v>
      </c>
      <c r="B60" s="12" t="s">
        <v>46</v>
      </c>
      <c r="C60" s="12" t="s">
        <v>35</v>
      </c>
      <c r="D60" s="15">
        <f>Beregning!D52</f>
        <v>1.05</v>
      </c>
      <c r="E60" s="7" t="s">
        <v>21</v>
      </c>
    </row>
    <row r="61" spans="1:5" ht="15">
      <c r="A61" s="12" t="s">
        <v>92</v>
      </c>
      <c r="B61" s="12" t="s">
        <v>47</v>
      </c>
      <c r="C61" s="12" t="s">
        <v>35</v>
      </c>
      <c r="D61" s="15">
        <f>Beregning!D53</f>
        <v>1</v>
      </c>
      <c r="E61" s="7" t="s">
        <v>21</v>
      </c>
    </row>
    <row r="62" spans="1:5" ht="15">
      <c r="A62" s="12" t="s">
        <v>62</v>
      </c>
      <c r="B62" s="12" t="s">
        <v>48</v>
      </c>
      <c r="C62" s="12" t="s">
        <v>35</v>
      </c>
      <c r="D62" s="15">
        <f>Beregning!D54</f>
        <v>1.15</v>
      </c>
      <c r="E62" s="7" t="s">
        <v>21</v>
      </c>
    </row>
    <row r="63" spans="1:5" ht="15">
      <c r="A63" s="12" t="s">
        <v>63</v>
      </c>
      <c r="B63" s="12" t="s">
        <v>49</v>
      </c>
      <c r="C63" s="12" t="s">
        <v>35</v>
      </c>
      <c r="D63" s="15">
        <f>Beregning!D55</f>
        <v>1.21</v>
      </c>
      <c r="E63" s="7" t="s">
        <v>21</v>
      </c>
    </row>
    <row r="64" spans="1:5" ht="15">
      <c r="A64" s="12" t="s">
        <v>64</v>
      </c>
      <c r="B64" s="7" t="s">
        <v>50</v>
      </c>
      <c r="C64" s="12" t="s">
        <v>35</v>
      </c>
      <c r="D64" s="15">
        <f>Beregning!D56</f>
        <v>1.1</v>
      </c>
      <c r="E64" s="7" t="s">
        <v>21</v>
      </c>
    </row>
    <row r="65" spans="1:5" ht="15">
      <c r="A65" s="12" t="s">
        <v>65</v>
      </c>
      <c r="B65" s="7" t="s">
        <v>51</v>
      </c>
      <c r="C65" s="12" t="s">
        <v>35</v>
      </c>
      <c r="D65" s="15">
        <f>Beregning!D57</f>
        <v>1.5</v>
      </c>
      <c r="E65" s="7" t="s">
        <v>21</v>
      </c>
    </row>
    <row r="66" spans="1:5" ht="15">
      <c r="A66" s="12" t="s">
        <v>66</v>
      </c>
      <c r="B66" s="12" t="s">
        <v>52</v>
      </c>
      <c r="C66" s="12" t="s">
        <v>35</v>
      </c>
      <c r="D66" s="15">
        <f>Beregning!D58</f>
        <v>1</v>
      </c>
      <c r="E66" s="7" t="s">
        <v>21</v>
      </c>
    </row>
    <row r="67" spans="1:5" ht="15">
      <c r="A67" s="7" t="s">
        <v>53</v>
      </c>
      <c r="B67" s="7" t="s">
        <v>54</v>
      </c>
      <c r="C67" s="7"/>
      <c r="D67" s="8">
        <f>Beregning!D59</f>
        <v>210000</v>
      </c>
      <c r="E67" s="7" t="s">
        <v>26</v>
      </c>
    </row>
    <row r="68" spans="1:5" ht="15">
      <c r="A68" s="3"/>
      <c r="B68" s="3"/>
      <c r="C68" s="3"/>
      <c r="D68" s="8"/>
      <c r="E68" s="3"/>
    </row>
    <row r="69" spans="1:5" ht="15">
      <c r="A69" s="2" t="s">
        <v>105</v>
      </c>
      <c r="B69" s="3"/>
      <c r="C69" s="3"/>
      <c r="D69" s="8"/>
      <c r="E69" s="3"/>
    </row>
    <row r="70" spans="1:5" ht="15">
      <c r="A70" s="3" t="s">
        <v>207</v>
      </c>
      <c r="B70" s="3" t="s">
        <v>211</v>
      </c>
      <c r="C70" s="3"/>
      <c r="D70" s="8">
        <f>Beregning!D62</f>
        <v>2121.85</v>
      </c>
      <c r="E70" s="3" t="s">
        <v>18</v>
      </c>
    </row>
    <row r="71" spans="1:5" ht="15">
      <c r="A71" s="3" t="s">
        <v>208</v>
      </c>
      <c r="B71" s="3" t="s">
        <v>212</v>
      </c>
      <c r="C71" s="3"/>
      <c r="D71" s="8">
        <f>Beregning!D63</f>
        <v>240</v>
      </c>
      <c r="E71" s="3" t="s">
        <v>18</v>
      </c>
    </row>
    <row r="72" spans="1:5" ht="15">
      <c r="A72" s="3" t="s">
        <v>209</v>
      </c>
      <c r="B72" s="3" t="s">
        <v>213</v>
      </c>
      <c r="C72" s="3"/>
      <c r="D72" s="8">
        <f>Beregning!D64</f>
        <v>1521.85</v>
      </c>
      <c r="E72" s="3" t="s">
        <v>18</v>
      </c>
    </row>
    <row r="73" spans="1:5" ht="15">
      <c r="A73" s="3" t="s">
        <v>210</v>
      </c>
      <c r="B73" s="3" t="s">
        <v>214</v>
      </c>
      <c r="C73" s="3"/>
      <c r="D73" s="8">
        <f>Beregning!D65</f>
        <v>160</v>
      </c>
      <c r="E73" s="3" t="s">
        <v>18</v>
      </c>
    </row>
    <row r="74" spans="1:5" ht="15">
      <c r="A74" s="3"/>
      <c r="B74" s="3"/>
      <c r="C74" s="3"/>
      <c r="D74" s="8"/>
      <c r="E74" s="3"/>
    </row>
    <row r="75" spans="1:5" ht="15">
      <c r="A75" s="2" t="s">
        <v>215</v>
      </c>
      <c r="B75" s="3"/>
      <c r="C75" s="3"/>
      <c r="D75" s="8"/>
      <c r="E75" s="3"/>
    </row>
    <row r="76" spans="1:5" ht="15">
      <c r="A76" s="3" t="s">
        <v>216</v>
      </c>
      <c r="B76" s="3" t="s">
        <v>170</v>
      </c>
      <c r="C76" s="3"/>
      <c r="D76" s="8">
        <f>Beregning!D68</f>
        <v>3414.035</v>
      </c>
      <c r="E76" s="3" t="s">
        <v>18</v>
      </c>
    </row>
    <row r="77" spans="1:5" ht="15">
      <c r="A77" s="3" t="s">
        <v>217</v>
      </c>
      <c r="B77" s="3" t="s">
        <v>130</v>
      </c>
      <c r="C77" s="3"/>
      <c r="D77" s="8">
        <f>Beregning!D69</f>
        <v>2.0817286585365853</v>
      </c>
      <c r="E77" s="7" t="s">
        <v>26</v>
      </c>
    </row>
    <row r="78" spans="1:5" ht="15">
      <c r="A78" s="3" t="s">
        <v>218</v>
      </c>
      <c r="B78" s="3" t="s">
        <v>131</v>
      </c>
      <c r="C78" s="3"/>
      <c r="D78" s="8">
        <f>Beregning!D70</f>
        <v>3.6056598041575683</v>
      </c>
      <c r="E78" s="7" t="s">
        <v>26</v>
      </c>
    </row>
    <row r="79" spans="1:5" ht="15">
      <c r="A79" s="3"/>
      <c r="B79" s="3"/>
      <c r="C79" s="3"/>
      <c r="D79" s="8"/>
      <c r="E79" s="7"/>
    </row>
    <row r="80" spans="1:5" ht="15">
      <c r="A80" s="2" t="s">
        <v>219</v>
      </c>
      <c r="B80" s="3"/>
      <c r="C80" s="3"/>
      <c r="D80" s="8"/>
      <c r="E80" s="3"/>
    </row>
    <row r="81" spans="1:5" ht="15">
      <c r="A81" s="3" t="s">
        <v>220</v>
      </c>
      <c r="B81" s="3" t="s">
        <v>170</v>
      </c>
      <c r="C81" s="3"/>
      <c r="D81" s="8">
        <f>Beregning!D73</f>
        <v>2394.035</v>
      </c>
      <c r="E81" s="3" t="s">
        <v>18</v>
      </c>
    </row>
    <row r="82" spans="1:5" ht="15">
      <c r="A82" s="3" t="s">
        <v>221</v>
      </c>
      <c r="B82" s="3" t="s">
        <v>130</v>
      </c>
      <c r="C82" s="3"/>
      <c r="D82" s="8">
        <f>Beregning!D74</f>
        <v>1.45977743902439</v>
      </c>
      <c r="E82" s="7" t="s">
        <v>26</v>
      </c>
    </row>
    <row r="83" spans="1:5" ht="15">
      <c r="A83" s="3" t="s">
        <v>222</v>
      </c>
      <c r="B83" s="3" t="s">
        <v>131</v>
      </c>
      <c r="C83" s="3"/>
      <c r="D83" s="8">
        <f>Beregning!D75</f>
        <v>2.528408692133022</v>
      </c>
      <c r="E83" s="7" t="s">
        <v>26</v>
      </c>
    </row>
    <row r="84" spans="1:5" ht="15">
      <c r="A84" s="3"/>
      <c r="B84" s="3"/>
      <c r="C84" s="3"/>
      <c r="D84" s="8"/>
      <c r="E84" s="7"/>
    </row>
    <row r="85" spans="1:5" ht="15">
      <c r="A85" s="2" t="s">
        <v>171</v>
      </c>
      <c r="B85" s="3"/>
      <c r="C85" s="3"/>
      <c r="D85" s="8"/>
      <c r="E85" s="3"/>
    </row>
    <row r="86" spans="1:5" ht="15">
      <c r="A86" s="3" t="s">
        <v>172</v>
      </c>
      <c r="B86" s="3" t="s">
        <v>170</v>
      </c>
      <c r="C86" s="3"/>
      <c r="D86" s="8">
        <f>Beregning!D78</f>
        <v>3130.807</v>
      </c>
      <c r="E86" s="3" t="s">
        <v>18</v>
      </c>
    </row>
    <row r="87" spans="1:5" ht="15">
      <c r="A87" s="3" t="s">
        <v>174</v>
      </c>
      <c r="B87" s="3" t="s">
        <v>126</v>
      </c>
      <c r="C87" s="3"/>
      <c r="D87" s="8">
        <f>Beregning!D79</f>
        <v>5824842</v>
      </c>
      <c r="E87" s="3" t="s">
        <v>59</v>
      </c>
    </row>
    <row r="88" spans="1:5" ht="15">
      <c r="A88" s="3" t="s">
        <v>173</v>
      </c>
      <c r="B88" s="3" t="s">
        <v>127</v>
      </c>
      <c r="C88" s="3"/>
      <c r="D88" s="8">
        <f>Beregning!D80</f>
        <v>720000</v>
      </c>
      <c r="E88" s="3" t="s">
        <v>59</v>
      </c>
    </row>
    <row r="89" spans="1:5" ht="15">
      <c r="A89" s="3" t="s">
        <v>176</v>
      </c>
      <c r="B89" s="3" t="s">
        <v>128</v>
      </c>
      <c r="C89" s="3"/>
      <c r="D89" s="8">
        <f>Beregning!D81</f>
        <v>75.36764140480591</v>
      </c>
      <c r="E89" s="7" t="s">
        <v>26</v>
      </c>
    </row>
    <row r="90" spans="1:5" ht="15">
      <c r="A90" s="3" t="s">
        <v>177</v>
      </c>
      <c r="B90" s="3" t="s">
        <v>129</v>
      </c>
      <c r="C90" s="3"/>
      <c r="D90" s="8">
        <f>Beregning!D82</f>
        <v>58.530066815144764</v>
      </c>
      <c r="E90" s="7" t="s">
        <v>26</v>
      </c>
    </row>
    <row r="91" spans="1:5" ht="15">
      <c r="A91" s="3" t="s">
        <v>178</v>
      </c>
      <c r="B91" s="3" t="s">
        <v>130</v>
      </c>
      <c r="C91" s="3"/>
      <c r="D91" s="8">
        <f>Beregning!D83</f>
        <v>1.9090286585365852</v>
      </c>
      <c r="E91" s="7" t="s">
        <v>26</v>
      </c>
    </row>
    <row r="92" spans="1:5" ht="15">
      <c r="A92" s="3" t="s">
        <v>179</v>
      </c>
      <c r="B92" s="3" t="s">
        <v>131</v>
      </c>
      <c r="C92" s="3"/>
      <c r="D92" s="8">
        <f>Beregning!D84</f>
        <v>95.4828951360717</v>
      </c>
      <c r="E92" s="7" t="s">
        <v>26</v>
      </c>
    </row>
    <row r="93" spans="1:5" ht="15">
      <c r="A93" s="3"/>
      <c r="B93" s="3"/>
      <c r="C93" s="3"/>
      <c r="D93" s="8"/>
      <c r="E93" s="7"/>
    </row>
    <row r="94" spans="1:5" ht="15">
      <c r="A94" s="2" t="s">
        <v>175</v>
      </c>
      <c r="B94" s="3"/>
      <c r="C94" s="3"/>
      <c r="D94" s="8"/>
      <c r="E94" s="3"/>
    </row>
    <row r="95" spans="1:5" ht="15">
      <c r="A95" s="3" t="s">
        <v>180</v>
      </c>
      <c r="B95" s="3" t="s">
        <v>170</v>
      </c>
      <c r="C95" s="3"/>
      <c r="D95" s="8">
        <f>Beregning!D87</f>
        <v>2040</v>
      </c>
      <c r="E95" s="3" t="s">
        <v>18</v>
      </c>
    </row>
    <row r="96" spans="1:5" ht="15">
      <c r="A96" s="3" t="s">
        <v>181</v>
      </c>
      <c r="B96" s="3" t="s">
        <v>126</v>
      </c>
      <c r="C96" s="3"/>
      <c r="D96" s="8">
        <f>Beregning!D88</f>
        <v>4942543.75</v>
      </c>
      <c r="E96" s="3" t="s">
        <v>59</v>
      </c>
    </row>
    <row r="97" spans="1:5" ht="15">
      <c r="A97" s="3" t="s">
        <v>182</v>
      </c>
      <c r="B97" s="3" t="s">
        <v>127</v>
      </c>
      <c r="C97" s="3"/>
      <c r="D97" s="8">
        <f>Beregning!D89</f>
        <v>600000</v>
      </c>
      <c r="E97" s="3" t="s">
        <v>59</v>
      </c>
    </row>
    <row r="98" spans="1:5" ht="15">
      <c r="A98" s="3" t="s">
        <v>183</v>
      </c>
      <c r="B98" s="3" t="s">
        <v>128</v>
      </c>
      <c r="C98" s="3"/>
      <c r="D98" s="8">
        <f>Beregning!D90</f>
        <v>63.95158271719039</v>
      </c>
      <c r="E98" s="7" t="s">
        <v>26</v>
      </c>
    </row>
    <row r="99" spans="1:5" ht="15">
      <c r="A99" s="3" t="s">
        <v>184</v>
      </c>
      <c r="B99" s="3" t="s">
        <v>129</v>
      </c>
      <c r="C99" s="3"/>
      <c r="D99" s="8">
        <f>Beregning!D91</f>
        <v>48.775055679287306</v>
      </c>
      <c r="E99" s="7" t="s">
        <v>26</v>
      </c>
    </row>
    <row r="100" spans="1:5" ht="15">
      <c r="A100" s="3" t="s">
        <v>185</v>
      </c>
      <c r="B100" s="3" t="s">
        <v>130</v>
      </c>
      <c r="C100" s="3"/>
      <c r="D100" s="8">
        <f>Beregning!D92</f>
        <v>1.2439024390243902</v>
      </c>
      <c r="E100" s="7" t="s">
        <v>26</v>
      </c>
    </row>
    <row r="101" spans="1:5" ht="15">
      <c r="A101" s="3" t="s">
        <v>186</v>
      </c>
      <c r="B101" s="3" t="s">
        <v>131</v>
      </c>
      <c r="C101" s="3"/>
      <c r="D101" s="8">
        <f>Beregning!D93</f>
        <v>80.45777071473367</v>
      </c>
      <c r="E101" s="7" t="s">
        <v>26</v>
      </c>
    </row>
    <row r="102" spans="1:5" ht="15">
      <c r="A102" s="3"/>
      <c r="B102" s="3"/>
      <c r="C102" s="3"/>
      <c r="D102" s="8"/>
      <c r="E102" s="3"/>
    </row>
    <row r="103" spans="1:5" ht="15">
      <c r="A103" s="10" t="s">
        <v>132</v>
      </c>
      <c r="B103" s="3"/>
      <c r="C103" s="11" t="s">
        <v>107</v>
      </c>
      <c r="D103" s="8"/>
      <c r="E103" s="3"/>
    </row>
    <row r="104" spans="1:5" ht="15">
      <c r="A104" s="11" t="s">
        <v>133</v>
      </c>
      <c r="B104" s="11" t="s">
        <v>134</v>
      </c>
      <c r="C104" s="3"/>
      <c r="D104" s="8">
        <f>Beregning!D96</f>
        <v>194.21487603305786</v>
      </c>
      <c r="E104" s="3" t="s">
        <v>26</v>
      </c>
    </row>
    <row r="105" spans="1:5" ht="15">
      <c r="A105" s="3" t="s">
        <v>135</v>
      </c>
      <c r="B105" s="3" t="s">
        <v>69</v>
      </c>
      <c r="C105" s="3"/>
      <c r="D105" s="15">
        <f>Beregning!D97</f>
        <v>0.49163533240275215</v>
      </c>
      <c r="E105" s="13" t="s">
        <v>21</v>
      </c>
    </row>
    <row r="106" spans="1:5" ht="15">
      <c r="A106" s="3"/>
      <c r="B106" s="3" t="s">
        <v>70</v>
      </c>
      <c r="C106" s="3"/>
      <c r="D106" s="8" t="str">
        <f>Beregning!D98</f>
        <v>OK</v>
      </c>
      <c r="E106" s="13" t="s">
        <v>21</v>
      </c>
    </row>
    <row r="107" spans="1:5" ht="15">
      <c r="A107" s="3"/>
      <c r="B107" s="3"/>
      <c r="C107" s="3"/>
      <c r="D107" s="8"/>
      <c r="E107" s="3"/>
    </row>
    <row r="108" spans="1:5" ht="15">
      <c r="A108" s="2" t="s">
        <v>188</v>
      </c>
      <c r="B108" s="3"/>
      <c r="C108" s="3"/>
      <c r="D108" s="8"/>
      <c r="E108" s="3"/>
    </row>
    <row r="109" spans="1:5" ht="15">
      <c r="A109" s="3" t="s">
        <v>190</v>
      </c>
      <c r="B109" s="3" t="s">
        <v>193</v>
      </c>
      <c r="C109" s="3"/>
      <c r="D109" s="15">
        <f>Beregning!D101</f>
        <v>0.8782105448464044</v>
      </c>
      <c r="E109" s="3" t="s">
        <v>1</v>
      </c>
    </row>
    <row r="110" spans="1:5" ht="15">
      <c r="A110" s="3" t="s">
        <v>191</v>
      </c>
      <c r="B110" s="3" t="s">
        <v>194</v>
      </c>
      <c r="C110" s="3"/>
      <c r="D110" s="15">
        <f>Beregning!D102</f>
        <v>6.337470293108001</v>
      </c>
      <c r="E110" s="3" t="s">
        <v>1</v>
      </c>
    </row>
    <row r="111" spans="1:5" ht="15">
      <c r="A111" s="3" t="s">
        <v>189</v>
      </c>
      <c r="B111" s="3" t="s">
        <v>192</v>
      </c>
      <c r="C111" s="3"/>
      <c r="D111" s="15">
        <f>Beregning!D103</f>
        <v>7.215680837954405</v>
      </c>
      <c r="E111" s="3" t="s">
        <v>1</v>
      </c>
    </row>
    <row r="112" spans="1:5" ht="15">
      <c r="A112" s="3" t="s">
        <v>195</v>
      </c>
      <c r="B112" s="3" t="s">
        <v>201</v>
      </c>
      <c r="C112" s="3"/>
      <c r="D112" s="15">
        <f>Beregning!D104</f>
        <v>10.181355392936684</v>
      </c>
      <c r="E112" s="3" t="s">
        <v>1</v>
      </c>
    </row>
    <row r="113" spans="1:5" ht="15">
      <c r="A113" s="3"/>
      <c r="B113" s="3"/>
      <c r="C113" s="3"/>
      <c r="D113" s="8"/>
      <c r="E113" s="3"/>
    </row>
    <row r="114" spans="1:5" ht="15">
      <c r="A114" s="2" t="s">
        <v>187</v>
      </c>
      <c r="B114" s="3"/>
      <c r="C114" s="3"/>
      <c r="D114" s="8"/>
      <c r="E114" s="3"/>
    </row>
    <row r="115" spans="1:5" ht="15">
      <c r="A115" s="3" t="s">
        <v>197</v>
      </c>
      <c r="B115" s="3" t="s">
        <v>193</v>
      </c>
      <c r="C115" s="3"/>
      <c r="D115" s="15">
        <f>Beregning!D107</f>
        <v>0.9221800916145879</v>
      </c>
      <c r="E115" s="3" t="s">
        <v>1</v>
      </c>
    </row>
    <row r="116" spans="1:5" ht="15">
      <c r="A116" s="3" t="s">
        <v>198</v>
      </c>
      <c r="B116" s="3" t="s">
        <v>194</v>
      </c>
      <c r="C116" s="3"/>
      <c r="D116" s="15">
        <f>Beregning!D108</f>
        <v>6.4915060293988205</v>
      </c>
      <c r="E116" s="3" t="s">
        <v>1</v>
      </c>
    </row>
    <row r="117" spans="1:5" ht="15">
      <c r="A117" s="3" t="s">
        <v>199</v>
      </c>
      <c r="B117" s="3" t="s">
        <v>192</v>
      </c>
      <c r="C117" s="3"/>
      <c r="D117" s="15">
        <f>Beregning!D109</f>
        <v>7.413686121013408</v>
      </c>
      <c r="E117" s="3" t="s">
        <v>1</v>
      </c>
    </row>
    <row r="118" spans="1:5" ht="15">
      <c r="A118" s="3" t="s">
        <v>200</v>
      </c>
      <c r="B118" s="3" t="s">
        <v>201</v>
      </c>
      <c r="C118" s="3"/>
      <c r="D118" s="15">
        <f>Beregning!D110</f>
        <v>10.428818892070563</v>
      </c>
      <c r="E118" s="3" t="s">
        <v>1</v>
      </c>
    </row>
    <row r="119" spans="1:5" ht="15">
      <c r="A119" s="3"/>
      <c r="B119" s="3"/>
      <c r="C119" s="3"/>
      <c r="D119" s="8"/>
      <c r="E119" s="3"/>
    </row>
    <row r="120" spans="1:5" ht="15">
      <c r="A120" s="2" t="s">
        <v>196</v>
      </c>
      <c r="B120" s="3"/>
      <c r="C120" s="3"/>
      <c r="D120" s="8"/>
      <c r="E120" s="3"/>
    </row>
    <row r="121" spans="1:5" ht="15">
      <c r="A121" s="3" t="s">
        <v>136</v>
      </c>
      <c r="B121" s="3" t="s">
        <v>68</v>
      </c>
      <c r="C121" s="12" t="s">
        <v>72</v>
      </c>
      <c r="D121" s="15">
        <f>Beregning!D113</f>
        <v>12.5</v>
      </c>
      <c r="E121" s="3" t="s">
        <v>1</v>
      </c>
    </row>
    <row r="122" spans="1:5" ht="15">
      <c r="A122" s="3" t="s">
        <v>137</v>
      </c>
      <c r="B122" s="3" t="s">
        <v>139</v>
      </c>
      <c r="C122" s="3"/>
      <c r="D122" s="15">
        <f>Beregning!D114</f>
        <v>0.5930948896810727</v>
      </c>
      <c r="E122" s="13" t="s">
        <v>21</v>
      </c>
    </row>
    <row r="123" spans="1:5" ht="15">
      <c r="A123" s="3" t="s">
        <v>138</v>
      </c>
      <c r="B123" s="3" t="s">
        <v>140</v>
      </c>
      <c r="C123" s="3"/>
      <c r="D123" s="15">
        <f>Beregning!D115</f>
        <v>0.834305511365645</v>
      </c>
      <c r="E123" s="13" t="s">
        <v>21</v>
      </c>
    </row>
    <row r="124" spans="1:5" ht="15">
      <c r="A124" s="3"/>
      <c r="B124" s="3" t="s">
        <v>71</v>
      </c>
      <c r="C124" s="3"/>
      <c r="D124" s="8" t="str">
        <f>Beregning!D116</f>
        <v>OK</v>
      </c>
      <c r="E124" s="13" t="s">
        <v>21</v>
      </c>
    </row>
  </sheetData>
  <sheetProtection password="C447" sheet="1" objects="1" scenarios="1" selectLockedCells="1" selectUnlockedCells="1"/>
  <mergeCells count="13">
    <mergeCell ref="A7:E7"/>
    <mergeCell ref="A2:E2"/>
    <mergeCell ref="A3:E3"/>
    <mergeCell ref="A4:E4"/>
    <mergeCell ref="A5:E5"/>
    <mergeCell ref="A6:E6"/>
    <mergeCell ref="A14:E14"/>
    <mergeCell ref="A8:E8"/>
    <mergeCell ref="A9:E9"/>
    <mergeCell ref="A10:E10"/>
    <mergeCell ref="A11:E11"/>
    <mergeCell ref="A12:E12"/>
    <mergeCell ref="A13:E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/>
  <headerFooter alignWithMargins="0">
    <oddFooter>&amp;L&amp;F&amp;R&amp;P af &amp;N</oddFooter>
  </headerFooter>
  <rowBreaks count="2" manualBreakCount="2">
    <brk id="30" max="4" man="1"/>
    <brk id="73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16"/>
  <sheetViews>
    <sheetView workbookViewId="0" topLeftCell="DA1">
      <selection activeCell="DA1" sqref="DA1"/>
    </sheetView>
  </sheetViews>
  <sheetFormatPr defaultColWidth="9.140625" defaultRowHeight="15"/>
  <cols>
    <col min="1" max="1" width="38.00390625" style="7" hidden="1" customWidth="1"/>
    <col min="2" max="2" width="39.421875" style="7" hidden="1" customWidth="1"/>
    <col min="3" max="3" width="26.7109375" style="7" hidden="1" customWidth="1"/>
    <col min="4" max="4" width="8.00390625" style="7" hidden="1" customWidth="1"/>
    <col min="5" max="5" width="14.28125" style="7" hidden="1" customWidth="1"/>
    <col min="6" max="6" width="13.28125" style="7" hidden="1" customWidth="1"/>
    <col min="7" max="9" width="23.7109375" style="7" hidden="1" customWidth="1"/>
    <col min="10" max="10" width="56.00390625" style="7" hidden="1" customWidth="1"/>
    <col min="11" max="11" width="30.421875" style="7" hidden="1" customWidth="1"/>
    <col min="12" max="19" width="8.00390625" style="7" hidden="1" customWidth="1"/>
    <col min="20" max="32" width="7.140625" style="7" hidden="1" customWidth="1"/>
    <col min="33" max="47" width="7.8515625" style="7" hidden="1" customWidth="1"/>
    <col min="48" max="62" width="8.00390625" style="7" hidden="1" customWidth="1"/>
    <col min="63" max="70" width="14.140625" style="7" hidden="1" customWidth="1"/>
    <col min="71" max="72" width="15.00390625" style="7" hidden="1" customWidth="1"/>
    <col min="73" max="73" width="14.140625" style="7" hidden="1" customWidth="1"/>
    <col min="74" max="74" width="15.421875" style="7" hidden="1" customWidth="1"/>
    <col min="75" max="75" width="15.00390625" style="7" hidden="1" customWidth="1"/>
    <col min="76" max="76" width="16.421875" style="7" hidden="1" customWidth="1"/>
    <col min="77" max="77" width="14.140625" style="7" hidden="1" customWidth="1"/>
    <col min="78" max="78" width="15.00390625" style="7" hidden="1" customWidth="1"/>
    <col min="79" max="79" width="14.421875" style="7" hidden="1" customWidth="1"/>
    <col min="80" max="80" width="13.140625" style="7" hidden="1" customWidth="1"/>
    <col min="81" max="81" width="14.421875" style="7" hidden="1" customWidth="1"/>
    <col min="82" max="82" width="13.140625" style="7" hidden="1" customWidth="1"/>
    <col min="83" max="83" width="14.421875" style="7" hidden="1" customWidth="1"/>
    <col min="84" max="84" width="13.140625" style="7" hidden="1" customWidth="1"/>
    <col min="85" max="85" width="14.421875" style="7" hidden="1" customWidth="1"/>
    <col min="86" max="86" width="13.140625" style="7" hidden="1" customWidth="1"/>
    <col min="87" max="92" width="14.421875" style="7" hidden="1" customWidth="1"/>
    <col min="93" max="94" width="15.00390625" style="7" hidden="1" customWidth="1"/>
    <col min="95" max="95" width="16.421875" style="7" hidden="1" customWidth="1"/>
    <col min="96" max="97" width="15.00390625" style="7" hidden="1" customWidth="1"/>
    <col min="98" max="98" width="16.421875" style="7" hidden="1" customWidth="1"/>
    <col min="99" max="100" width="15.00390625" style="7" hidden="1" customWidth="1"/>
    <col min="101" max="101" width="16.421875" style="7" hidden="1" customWidth="1"/>
    <col min="102" max="103" width="15.00390625" style="7" hidden="1" customWidth="1"/>
    <col min="104" max="104" width="16.421875" style="7" hidden="1" customWidth="1"/>
    <col min="105" max="16384" width="9.140625" style="7" customWidth="1"/>
  </cols>
  <sheetData>
    <row r="1" spans="1:4" ht="12">
      <c r="A1" s="21" t="str">
        <f>Inddata!A1</f>
        <v>Simpelt undertsøttet bjælke</v>
      </c>
      <c r="D1" s="26"/>
    </row>
    <row r="2" ht="12">
      <c r="D2" s="26"/>
    </row>
    <row r="3" spans="1:4" ht="12">
      <c r="A3" s="21" t="s">
        <v>2</v>
      </c>
      <c r="D3" s="26"/>
    </row>
    <row r="4" spans="1:11" ht="12">
      <c r="A4" s="7" t="s">
        <v>0</v>
      </c>
      <c r="C4" s="20">
        <v>2</v>
      </c>
      <c r="D4" s="27"/>
      <c r="G4" s="28">
        <v>1</v>
      </c>
      <c r="H4" s="28">
        <v>2</v>
      </c>
      <c r="I4" s="28">
        <v>3</v>
      </c>
      <c r="J4" s="28">
        <v>4</v>
      </c>
      <c r="K4" s="28"/>
    </row>
    <row r="5" spans="1:11" ht="12">
      <c r="A5" s="7" t="s">
        <v>110</v>
      </c>
      <c r="B5" s="7" t="s">
        <v>114</v>
      </c>
      <c r="C5" s="7">
        <f>Inddata!C5</f>
        <v>300</v>
      </c>
      <c r="D5" s="26" t="s">
        <v>113</v>
      </c>
      <c r="G5" s="28" t="s">
        <v>98</v>
      </c>
      <c r="H5" s="28" t="s">
        <v>41</v>
      </c>
      <c r="I5" s="28" t="s">
        <v>97</v>
      </c>
      <c r="J5" s="28" t="s">
        <v>145</v>
      </c>
      <c r="K5" s="28"/>
    </row>
    <row r="6" spans="1:11" ht="12">
      <c r="A6" s="7" t="s">
        <v>111</v>
      </c>
      <c r="B6" s="7" t="s">
        <v>115</v>
      </c>
      <c r="C6" s="7">
        <f>Inddata!C6</f>
        <v>40</v>
      </c>
      <c r="D6" s="26" t="s">
        <v>113</v>
      </c>
      <c r="G6" s="7" t="s">
        <v>119</v>
      </c>
      <c r="H6" s="7" t="s">
        <v>120</v>
      </c>
      <c r="I6" s="7" t="s">
        <v>121</v>
      </c>
      <c r="J6" s="7" t="s">
        <v>164</v>
      </c>
      <c r="K6" s="28" t="s">
        <v>16</v>
      </c>
    </row>
    <row r="7" spans="1:11" ht="12">
      <c r="A7" s="7" t="s">
        <v>112</v>
      </c>
      <c r="B7" s="7" t="s">
        <v>116</v>
      </c>
      <c r="C7" s="7">
        <f>Inddata!C7</f>
        <v>5000</v>
      </c>
      <c r="D7" s="26" t="s">
        <v>1</v>
      </c>
      <c r="G7" s="28">
        <v>0</v>
      </c>
      <c r="H7" s="28">
        <v>10</v>
      </c>
      <c r="I7" s="28">
        <v>20</v>
      </c>
      <c r="J7" s="28">
        <v>100</v>
      </c>
      <c r="K7" s="28" t="s">
        <v>144</v>
      </c>
    </row>
    <row r="8" spans="1:11" ht="12">
      <c r="A8" s="7" t="s">
        <v>166</v>
      </c>
      <c r="B8" s="7" t="s">
        <v>167</v>
      </c>
      <c r="C8" s="7">
        <f>Inddata!C8</f>
        <v>2000</v>
      </c>
      <c r="D8" s="26" t="s">
        <v>1</v>
      </c>
      <c r="G8" s="7" t="s">
        <v>55</v>
      </c>
      <c r="H8" s="7" t="s">
        <v>33</v>
      </c>
      <c r="I8" s="7" t="s">
        <v>122</v>
      </c>
      <c r="J8" s="7" t="s">
        <v>122</v>
      </c>
      <c r="K8" s="7" t="s">
        <v>31</v>
      </c>
    </row>
    <row r="9" spans="4:11" ht="12">
      <c r="D9" s="26"/>
      <c r="G9" s="7" t="s">
        <v>36</v>
      </c>
      <c r="H9" s="7" t="s">
        <v>56</v>
      </c>
      <c r="I9" s="7" t="s">
        <v>56</v>
      </c>
      <c r="J9" s="7" t="s">
        <v>143</v>
      </c>
      <c r="K9" s="7" t="s">
        <v>34</v>
      </c>
    </row>
    <row r="10" spans="1:11" ht="12">
      <c r="A10" s="21" t="s">
        <v>169</v>
      </c>
      <c r="D10" s="26"/>
      <c r="G10" s="7" t="s">
        <v>39</v>
      </c>
      <c r="H10" s="7" t="s">
        <v>57</v>
      </c>
      <c r="I10" s="7" t="s">
        <v>123</v>
      </c>
      <c r="J10" s="7" t="s">
        <v>123</v>
      </c>
      <c r="K10" s="7" t="s">
        <v>37</v>
      </c>
    </row>
    <row r="11" spans="1:11" ht="12">
      <c r="A11" s="7" t="s">
        <v>99</v>
      </c>
      <c r="B11" s="7" t="s">
        <v>168</v>
      </c>
      <c r="C11" s="7">
        <f>Inddata!C11</f>
        <v>3000</v>
      </c>
      <c r="D11" s="26" t="s">
        <v>1</v>
      </c>
      <c r="G11" s="7">
        <v>1.1</v>
      </c>
      <c r="H11" s="7">
        <v>1</v>
      </c>
      <c r="I11" s="7">
        <v>1</v>
      </c>
      <c r="J11" s="7">
        <v>1.1</v>
      </c>
      <c r="K11" s="12" t="s">
        <v>47</v>
      </c>
    </row>
    <row r="12" spans="4:11" ht="12">
      <c r="D12" s="26"/>
      <c r="G12" s="7">
        <v>1</v>
      </c>
      <c r="H12" s="7">
        <v>1</v>
      </c>
      <c r="I12" s="7">
        <v>1.1</v>
      </c>
      <c r="J12" s="7">
        <f>1.1*1.2</f>
        <v>1.32</v>
      </c>
      <c r="K12" s="12" t="s">
        <v>52</v>
      </c>
    </row>
    <row r="13" ht="12">
      <c r="D13" s="26"/>
    </row>
    <row r="14" ht="12">
      <c r="D14" s="26"/>
    </row>
    <row r="15" ht="12">
      <c r="D15" s="26"/>
    </row>
    <row r="16" ht="12">
      <c r="D16" s="26"/>
    </row>
    <row r="17" spans="4:10" ht="12">
      <c r="D17" s="26"/>
      <c r="E17" s="29" t="s">
        <v>3</v>
      </c>
      <c r="F17" s="29" t="s">
        <v>109</v>
      </c>
      <c r="G17" s="29" t="s">
        <v>146</v>
      </c>
      <c r="H17" s="29" t="s">
        <v>101</v>
      </c>
      <c r="I17" s="7" t="s">
        <v>5</v>
      </c>
      <c r="J17" s="7" t="s">
        <v>4</v>
      </c>
    </row>
    <row r="18" spans="1:10" ht="12">
      <c r="A18" s="21" t="s">
        <v>81</v>
      </c>
      <c r="D18" s="26"/>
      <c r="E18" s="29" t="s">
        <v>76</v>
      </c>
      <c r="F18" s="29" t="s">
        <v>77</v>
      </c>
      <c r="G18" s="29" t="s">
        <v>77</v>
      </c>
      <c r="H18" s="29" t="s">
        <v>78</v>
      </c>
      <c r="I18" s="7" t="s">
        <v>75</v>
      </c>
      <c r="J18" s="7" t="s">
        <v>75</v>
      </c>
    </row>
    <row r="19" spans="1:10" ht="12">
      <c r="A19" s="21"/>
      <c r="B19" s="7" t="s">
        <v>118</v>
      </c>
      <c r="C19" s="29" t="str">
        <f>HLOOKUP($D$19,$G$20:$N$31,2)</f>
        <v>IPE 140</v>
      </c>
      <c r="D19" s="25">
        <v>3</v>
      </c>
      <c r="E19" s="30">
        <f>HLOOKUP($D$19,$G$20:$N$31,6)</f>
        <v>1640</v>
      </c>
      <c r="F19" s="30">
        <f>HLOOKUP($D$19,$G$20:$N$31,7)</f>
        <v>5410000</v>
      </c>
      <c r="G19" s="30">
        <f>HLOOKUP($D$19,$G$20:$N$31,8)</f>
        <v>449000</v>
      </c>
      <c r="H19" s="30">
        <f>HLOOKUP($D$19,$G$20:$N$31,9)</f>
        <v>128.74</v>
      </c>
      <c r="I19" s="30">
        <f>HLOOKUP($D$19,$G$20:$N$31,3)</f>
        <v>140</v>
      </c>
      <c r="J19" s="31">
        <f>HLOOKUP($D$19,$G$20:$N$31,4)</f>
        <v>73</v>
      </c>
    </row>
    <row r="20" spans="4:14" ht="12">
      <c r="D20" s="31"/>
      <c r="E20" s="29" t="s">
        <v>104</v>
      </c>
      <c r="F20" s="29"/>
      <c r="G20" s="29">
        <v>1</v>
      </c>
      <c r="H20" s="29">
        <v>2</v>
      </c>
      <c r="I20" s="29">
        <v>3</v>
      </c>
      <c r="J20" s="29">
        <v>4</v>
      </c>
      <c r="K20" s="29">
        <v>5</v>
      </c>
      <c r="L20" s="29">
        <v>6</v>
      </c>
      <c r="M20" s="29">
        <v>7</v>
      </c>
      <c r="N20" s="29">
        <v>8</v>
      </c>
    </row>
    <row r="21" spans="4:14" ht="12">
      <c r="D21" s="26"/>
      <c r="E21" s="29" t="s">
        <v>102</v>
      </c>
      <c r="F21" s="29"/>
      <c r="G21" s="29" t="str">
        <f>"IPE "&amp;G22</f>
        <v>IPE 100</v>
      </c>
      <c r="H21" s="29" t="str">
        <f>"IPE "&amp;H22</f>
        <v>IPE 120</v>
      </c>
      <c r="I21" s="29" t="str">
        <f>"IPE "&amp;I22</f>
        <v>IPE 140</v>
      </c>
      <c r="J21" s="29" t="str">
        <f>"IPE "&amp;J22</f>
        <v>IPE 160</v>
      </c>
      <c r="K21" s="29" t="s">
        <v>147</v>
      </c>
      <c r="L21" s="29" t="s">
        <v>148</v>
      </c>
      <c r="M21" s="29" t="s">
        <v>149</v>
      </c>
      <c r="N21" s="29" t="s">
        <v>150</v>
      </c>
    </row>
    <row r="22" spans="2:14" ht="12">
      <c r="B22" s="7" t="s">
        <v>5</v>
      </c>
      <c r="D22" s="26"/>
      <c r="E22" s="30" t="s">
        <v>75</v>
      </c>
      <c r="F22" s="30"/>
      <c r="G22" s="30">
        <v>100</v>
      </c>
      <c r="H22" s="30">
        <v>120</v>
      </c>
      <c r="I22" s="30">
        <v>140</v>
      </c>
      <c r="J22" s="30">
        <v>160</v>
      </c>
      <c r="K22" s="30">
        <v>96</v>
      </c>
      <c r="L22" s="30">
        <v>114</v>
      </c>
      <c r="M22" s="30">
        <v>133</v>
      </c>
      <c r="N22" s="30">
        <v>152</v>
      </c>
    </row>
    <row r="23" spans="2:14" ht="12">
      <c r="B23" s="7" t="s">
        <v>4</v>
      </c>
      <c r="D23" s="26"/>
      <c r="E23" s="30" t="s">
        <v>75</v>
      </c>
      <c r="F23" s="30"/>
      <c r="G23" s="30">
        <v>55</v>
      </c>
      <c r="H23" s="30">
        <v>64</v>
      </c>
      <c r="I23" s="30">
        <v>73</v>
      </c>
      <c r="J23" s="30">
        <v>82</v>
      </c>
      <c r="K23" s="30">
        <v>100</v>
      </c>
      <c r="L23" s="30">
        <v>120</v>
      </c>
      <c r="M23" s="30">
        <v>140</v>
      </c>
      <c r="N23" s="30">
        <v>160</v>
      </c>
    </row>
    <row r="24" spans="2:14" ht="12">
      <c r="B24" s="7" t="s">
        <v>73</v>
      </c>
      <c r="D24" s="26"/>
      <c r="E24" s="30" t="s">
        <v>75</v>
      </c>
      <c r="F24" s="30"/>
      <c r="G24" s="30">
        <v>4.1</v>
      </c>
      <c r="H24" s="30">
        <v>4.4</v>
      </c>
      <c r="I24" s="30">
        <v>4.7</v>
      </c>
      <c r="J24" s="30">
        <v>5</v>
      </c>
      <c r="K24" s="30"/>
      <c r="L24" s="30"/>
      <c r="M24" s="30"/>
      <c r="N24" s="30"/>
    </row>
    <row r="25" spans="2:14" ht="12">
      <c r="B25" s="7" t="s">
        <v>3</v>
      </c>
      <c r="D25" s="26"/>
      <c r="E25" s="30" t="s">
        <v>76</v>
      </c>
      <c r="F25" s="30"/>
      <c r="G25" s="30">
        <v>1030</v>
      </c>
      <c r="H25" s="30">
        <v>1320</v>
      </c>
      <c r="I25" s="30">
        <v>1640</v>
      </c>
      <c r="J25" s="30">
        <v>2010</v>
      </c>
      <c r="K25" s="30">
        <v>2120</v>
      </c>
      <c r="L25" s="30">
        <v>2530</v>
      </c>
      <c r="M25" s="30">
        <v>3140</v>
      </c>
      <c r="N25" s="30">
        <v>3880</v>
      </c>
    </row>
    <row r="26" spans="2:14" ht="12">
      <c r="B26" s="7" t="s">
        <v>109</v>
      </c>
      <c r="D26" s="26"/>
      <c r="E26" s="30" t="s">
        <v>77</v>
      </c>
      <c r="F26" s="30"/>
      <c r="G26" s="30">
        <v>1710000</v>
      </c>
      <c r="H26" s="30">
        <v>3180000</v>
      </c>
      <c r="I26" s="30">
        <v>5410000</v>
      </c>
      <c r="J26" s="30">
        <v>8690000</v>
      </c>
      <c r="K26" s="30">
        <v>3490000</v>
      </c>
      <c r="L26" s="30">
        <v>6060000</v>
      </c>
      <c r="M26" s="30">
        <v>10300000</v>
      </c>
      <c r="N26" s="30">
        <v>16700000</v>
      </c>
    </row>
    <row r="27" spans="2:14" ht="12">
      <c r="B27" s="7" t="s">
        <v>146</v>
      </c>
      <c r="D27" s="26"/>
      <c r="E27" s="30" t="s">
        <v>77</v>
      </c>
      <c r="F27" s="30"/>
      <c r="G27" s="30">
        <v>159000</v>
      </c>
      <c r="H27" s="30">
        <v>277000</v>
      </c>
      <c r="I27" s="30">
        <v>449000</v>
      </c>
      <c r="J27" s="30">
        <v>683000</v>
      </c>
      <c r="K27" s="30">
        <v>1340000</v>
      </c>
      <c r="L27" s="30">
        <v>2310000</v>
      </c>
      <c r="M27" s="30">
        <v>3890000</v>
      </c>
      <c r="N27" s="30">
        <v>6160000</v>
      </c>
    </row>
    <row r="28" spans="2:14" ht="12">
      <c r="B28" s="7" t="s">
        <v>19</v>
      </c>
      <c r="D28" s="26"/>
      <c r="E28" s="30" t="s">
        <v>78</v>
      </c>
      <c r="F28" s="30"/>
      <c r="G28" s="30">
        <f>G25*0.0785</f>
        <v>80.855</v>
      </c>
      <c r="H28" s="30">
        <f>H25*0.0785</f>
        <v>103.62</v>
      </c>
      <c r="I28" s="30">
        <f>I25*0.0785</f>
        <v>128.74</v>
      </c>
      <c r="J28" s="30">
        <f>J25*0.0785</f>
        <v>157.785</v>
      </c>
      <c r="K28" s="30">
        <f>K25*0.0785</f>
        <v>166.42</v>
      </c>
      <c r="L28" s="30">
        <f>L25*0.0785</f>
        <v>198.605</v>
      </c>
      <c r="M28" s="30">
        <f>M25*0.0785</f>
        <v>246.49</v>
      </c>
      <c r="N28" s="30">
        <f>N25*0.0785</f>
        <v>304.58</v>
      </c>
    </row>
    <row r="29" spans="2:14" ht="12">
      <c r="B29" s="7" t="s">
        <v>74</v>
      </c>
      <c r="D29" s="26"/>
      <c r="E29" s="30" t="s">
        <v>79</v>
      </c>
      <c r="F29" s="30"/>
      <c r="G29" s="30">
        <f>G28/10</f>
        <v>8.0855</v>
      </c>
      <c r="H29" s="30">
        <f>H28/10</f>
        <v>10.362</v>
      </c>
      <c r="I29" s="30">
        <f>I28/10</f>
        <v>12.874</v>
      </c>
      <c r="J29" s="30">
        <f>J28/10</f>
        <v>15.7785</v>
      </c>
      <c r="K29" s="30">
        <f>K28/10</f>
        <v>16.642</v>
      </c>
      <c r="L29" s="30">
        <f>L28/10</f>
        <v>19.8605</v>
      </c>
      <c r="M29" s="30">
        <f>M28/10</f>
        <v>24.649</v>
      </c>
      <c r="N29" s="30">
        <f>N28/10</f>
        <v>30.458</v>
      </c>
    </row>
    <row r="30" spans="2:14" ht="12">
      <c r="B30" s="7" t="s">
        <v>106</v>
      </c>
      <c r="D30" s="26"/>
      <c r="E30" s="30"/>
      <c r="F30" s="30"/>
      <c r="G30" s="30">
        <f>G22/G24</f>
        <v>24.390243902439025</v>
      </c>
      <c r="H30" s="30">
        <f>H22/H24</f>
        <v>27.27272727272727</v>
      </c>
      <c r="I30" s="30">
        <f>I22/I24</f>
        <v>29.78723404255319</v>
      </c>
      <c r="J30" s="30">
        <f>J22/J24</f>
        <v>32</v>
      </c>
      <c r="K30" s="30">
        <f>K22/K23</f>
        <v>0.96</v>
      </c>
      <c r="L30" s="30">
        <f>L22/L23</f>
        <v>0.95</v>
      </c>
      <c r="M30" s="30">
        <f>M22/M23</f>
        <v>0.95</v>
      </c>
      <c r="N30" s="30">
        <f>N22/N23</f>
        <v>0.95</v>
      </c>
    </row>
    <row r="31" spans="2:14" ht="12">
      <c r="B31" s="7" t="s">
        <v>108</v>
      </c>
      <c r="D31" s="26"/>
      <c r="E31" s="30"/>
      <c r="F31" s="30"/>
      <c r="G31" s="31">
        <f>IF(G30&gt;42,G30/42,1)</f>
        <v>1</v>
      </c>
      <c r="H31" s="31">
        <f>IF(H30&gt;42,H30/42,1)</f>
        <v>1</v>
      </c>
      <c r="I31" s="31">
        <f>IF(I30&gt;42,I30/42,1)</f>
        <v>1</v>
      </c>
      <c r="J31" s="31">
        <f>IF(J30&gt;42,J30/42,1)</f>
        <v>1</v>
      </c>
      <c r="K31" s="31">
        <f>IF(K30&gt;42,K30/42,1)</f>
        <v>1</v>
      </c>
      <c r="L31" s="31">
        <f>IF(L30&gt;42,L30/42,1)</f>
        <v>1</v>
      </c>
      <c r="M31" s="31">
        <f>IF(M30&gt;42,M30/42,1)</f>
        <v>1</v>
      </c>
      <c r="N31" s="31">
        <f>IF(N30&gt;42,N30/42,1)</f>
        <v>1</v>
      </c>
    </row>
    <row r="32" spans="4:78" ht="12">
      <c r="D32" s="26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</row>
    <row r="33" spans="1:4" ht="12">
      <c r="A33" s="5" t="s">
        <v>15</v>
      </c>
      <c r="B33" s="5"/>
      <c r="D33" s="26"/>
    </row>
    <row r="34" spans="1:5" ht="12">
      <c r="A34" s="7" t="s">
        <v>110</v>
      </c>
      <c r="B34" s="7" t="s">
        <v>114</v>
      </c>
      <c r="D34" s="26">
        <f>C5*10</f>
        <v>3000</v>
      </c>
      <c r="E34" s="7" t="s">
        <v>18</v>
      </c>
    </row>
    <row r="35" spans="1:5" ht="12">
      <c r="A35" s="7" t="s">
        <v>111</v>
      </c>
      <c r="B35" s="7" t="s">
        <v>115</v>
      </c>
      <c r="D35" s="26">
        <f>C6*10</f>
        <v>400</v>
      </c>
      <c r="E35" s="7" t="s">
        <v>18</v>
      </c>
    </row>
    <row r="36" ht="12">
      <c r="D36" s="26"/>
    </row>
    <row r="37" spans="1:4" ht="12">
      <c r="A37" s="21" t="s">
        <v>17</v>
      </c>
      <c r="D37" s="26"/>
    </row>
    <row r="38" spans="1:5" ht="12">
      <c r="A38" s="7" t="s">
        <v>124</v>
      </c>
      <c r="B38" s="7" t="s">
        <v>125</v>
      </c>
      <c r="D38" s="26">
        <f>H19*C7/1000</f>
        <v>643.7</v>
      </c>
      <c r="E38" s="7" t="s">
        <v>18</v>
      </c>
    </row>
    <row r="39" ht="12">
      <c r="D39" s="26"/>
    </row>
    <row r="40" spans="1:4" ht="12">
      <c r="A40" s="21" t="s">
        <v>58</v>
      </c>
      <c r="D40" s="26"/>
    </row>
    <row r="41" spans="2:5" ht="12">
      <c r="B41" s="7" t="s">
        <v>20</v>
      </c>
      <c r="D41" s="31" t="s">
        <v>103</v>
      </c>
      <c r="E41" s="7" t="s">
        <v>21</v>
      </c>
    </row>
    <row r="42" spans="2:5" ht="12">
      <c r="B42" s="7" t="s">
        <v>22</v>
      </c>
      <c r="C42" s="7" t="s">
        <v>23</v>
      </c>
      <c r="D42" s="32" t="s">
        <v>24</v>
      </c>
      <c r="E42" s="7" t="s">
        <v>21</v>
      </c>
    </row>
    <row r="43" spans="1:5" ht="12">
      <c r="A43" s="7" t="s">
        <v>90</v>
      </c>
      <c r="B43" s="7" t="s">
        <v>25</v>
      </c>
      <c r="C43" s="7" t="s">
        <v>23</v>
      </c>
      <c r="D43" s="31">
        <v>235</v>
      </c>
      <c r="E43" s="7" t="s">
        <v>26</v>
      </c>
    </row>
    <row r="44" spans="1:5" ht="12">
      <c r="A44" s="12" t="s">
        <v>60</v>
      </c>
      <c r="B44" s="12" t="s">
        <v>27</v>
      </c>
      <c r="C44" s="12" t="s">
        <v>23</v>
      </c>
      <c r="D44" s="31">
        <v>360</v>
      </c>
      <c r="E44" s="7" t="s">
        <v>26</v>
      </c>
    </row>
    <row r="45" spans="2:5" ht="12">
      <c r="B45" s="7" t="s">
        <v>28</v>
      </c>
      <c r="C45" s="7" t="s">
        <v>29</v>
      </c>
      <c r="D45" s="31" t="s">
        <v>30</v>
      </c>
      <c r="E45" s="7" t="s">
        <v>21</v>
      </c>
    </row>
    <row r="46" spans="2:5" ht="12">
      <c r="B46" s="7" t="s">
        <v>31</v>
      </c>
      <c r="C46" s="7" t="s">
        <v>32</v>
      </c>
      <c r="D46" s="31" t="str">
        <f>HLOOKUP($C$4,$G$4:$K$8,5)</f>
        <v>CC2</v>
      </c>
      <c r="E46" s="7" t="s">
        <v>21</v>
      </c>
    </row>
    <row r="47" spans="2:5" ht="12">
      <c r="B47" s="7" t="s">
        <v>34</v>
      </c>
      <c r="C47" s="12" t="s">
        <v>35</v>
      </c>
      <c r="D47" s="31" t="str">
        <f>HLOOKUP($C$4,$G$4:$K$9,6)</f>
        <v>Normal</v>
      </c>
      <c r="E47" s="7" t="s">
        <v>21</v>
      </c>
    </row>
    <row r="48" spans="2:5" ht="12">
      <c r="B48" s="7" t="s">
        <v>37</v>
      </c>
      <c r="C48" s="7" t="s">
        <v>38</v>
      </c>
      <c r="D48" s="31" t="str">
        <f>HLOOKUP($C$4,$G$4:$K$10,7)</f>
        <v>3.1</v>
      </c>
      <c r="E48" s="7" t="s">
        <v>21</v>
      </c>
    </row>
    <row r="49" spans="2:5" ht="12">
      <c r="B49" s="7" t="s">
        <v>40</v>
      </c>
      <c r="C49" s="7" t="s">
        <v>152</v>
      </c>
      <c r="D49" s="31" t="str">
        <f>HLOOKUP($C$4,$G$4:$K$10,2)</f>
        <v>C</v>
      </c>
      <c r="E49" s="7" t="s">
        <v>21</v>
      </c>
    </row>
    <row r="50" spans="2:5" ht="12">
      <c r="B50" s="7" t="s">
        <v>42</v>
      </c>
      <c r="C50" s="7" t="s">
        <v>43</v>
      </c>
      <c r="D50" s="31">
        <f>HLOOKUP($C$4,$G$4:$K$10,4)</f>
        <v>10</v>
      </c>
      <c r="E50" s="7" t="s">
        <v>44</v>
      </c>
    </row>
    <row r="51" spans="1:5" ht="12">
      <c r="A51" s="12" t="s">
        <v>61</v>
      </c>
      <c r="B51" s="12" t="s">
        <v>45</v>
      </c>
      <c r="C51" s="12" t="s">
        <v>35</v>
      </c>
      <c r="D51" s="31">
        <v>1</v>
      </c>
      <c r="E51" s="7" t="s">
        <v>21</v>
      </c>
    </row>
    <row r="52" spans="1:5" ht="12">
      <c r="A52" s="12" t="s">
        <v>91</v>
      </c>
      <c r="B52" s="12" t="s">
        <v>46</v>
      </c>
      <c r="C52" s="12" t="s">
        <v>35</v>
      </c>
      <c r="D52" s="31">
        <v>1.05</v>
      </c>
      <c r="E52" s="7" t="s">
        <v>21</v>
      </c>
    </row>
    <row r="53" spans="1:5" ht="12">
      <c r="A53" s="12" t="s">
        <v>92</v>
      </c>
      <c r="B53" s="12" t="s">
        <v>47</v>
      </c>
      <c r="C53" s="12" t="s">
        <v>35</v>
      </c>
      <c r="D53" s="31">
        <f>HLOOKUP(C4,G4:J11,8)</f>
        <v>1</v>
      </c>
      <c r="E53" s="7" t="s">
        <v>21</v>
      </c>
    </row>
    <row r="54" spans="1:5" ht="12">
      <c r="A54" s="12" t="s">
        <v>62</v>
      </c>
      <c r="B54" s="12" t="s">
        <v>48</v>
      </c>
      <c r="C54" s="12" t="s">
        <v>35</v>
      </c>
      <c r="D54" s="31">
        <v>1.15</v>
      </c>
      <c r="E54" s="7" t="s">
        <v>21</v>
      </c>
    </row>
    <row r="55" spans="1:5" ht="12">
      <c r="A55" s="12" t="s">
        <v>63</v>
      </c>
      <c r="B55" s="12" t="s">
        <v>49</v>
      </c>
      <c r="C55" s="12" t="s">
        <v>35</v>
      </c>
      <c r="D55" s="31">
        <f>CEILING(D51*D52*D53*D54,0.01)</f>
        <v>1.21</v>
      </c>
      <c r="E55" s="7" t="s">
        <v>21</v>
      </c>
    </row>
    <row r="56" spans="1:5" ht="12">
      <c r="A56" s="12" t="s">
        <v>64</v>
      </c>
      <c r="B56" s="7" t="s">
        <v>50</v>
      </c>
      <c r="C56" s="12" t="s">
        <v>35</v>
      </c>
      <c r="D56" s="31">
        <v>1.1</v>
      </c>
      <c r="E56" s="7" t="s">
        <v>21</v>
      </c>
    </row>
    <row r="57" spans="1:5" ht="12">
      <c r="A57" s="12" t="s">
        <v>65</v>
      </c>
      <c r="B57" s="7" t="s">
        <v>51</v>
      </c>
      <c r="C57" s="12" t="s">
        <v>35</v>
      </c>
      <c r="D57" s="31">
        <v>1.5</v>
      </c>
      <c r="E57" s="7" t="s">
        <v>21</v>
      </c>
    </row>
    <row r="58" spans="1:5" ht="12">
      <c r="A58" s="12" t="s">
        <v>66</v>
      </c>
      <c r="B58" s="12" t="s">
        <v>52</v>
      </c>
      <c r="C58" s="12" t="s">
        <v>35</v>
      </c>
      <c r="D58" s="31">
        <f>HLOOKUP(C4,G4:J12,9)</f>
        <v>1</v>
      </c>
      <c r="E58" s="7" t="s">
        <v>21</v>
      </c>
    </row>
    <row r="59" spans="1:5" ht="12">
      <c r="A59" s="7" t="s">
        <v>53</v>
      </c>
      <c r="B59" s="7" t="s">
        <v>54</v>
      </c>
      <c r="D59" s="31">
        <v>210000</v>
      </c>
      <c r="E59" s="7" t="s">
        <v>26</v>
      </c>
    </row>
    <row r="60" ht="12">
      <c r="D60" s="26"/>
    </row>
    <row r="61" spans="1:4" ht="12">
      <c r="A61" s="2" t="s">
        <v>105</v>
      </c>
      <c r="B61" s="3"/>
      <c r="D61" s="26"/>
    </row>
    <row r="62" spans="1:5" ht="12">
      <c r="A62" s="3" t="s">
        <v>207</v>
      </c>
      <c r="B62" s="3" t="s">
        <v>211</v>
      </c>
      <c r="D62" s="26">
        <f>(D34*C11/C7)+(0.5*D38)</f>
        <v>2121.85</v>
      </c>
      <c r="E62" s="7" t="s">
        <v>18</v>
      </c>
    </row>
    <row r="63" spans="1:5" ht="12">
      <c r="A63" s="3" t="s">
        <v>208</v>
      </c>
      <c r="B63" s="3" t="s">
        <v>212</v>
      </c>
      <c r="D63" s="26">
        <f>D35*C11/C7</f>
        <v>240</v>
      </c>
      <c r="E63" s="7" t="s">
        <v>18</v>
      </c>
    </row>
    <row r="64" spans="1:6" ht="12">
      <c r="A64" s="3" t="s">
        <v>209</v>
      </c>
      <c r="B64" s="3" t="s">
        <v>213</v>
      </c>
      <c r="D64" s="26">
        <f>(D34*C8/C7)+(0.5*D38)</f>
        <v>1521.85</v>
      </c>
      <c r="E64" s="7" t="s">
        <v>18</v>
      </c>
      <c r="F64" s="33"/>
    </row>
    <row r="65" spans="1:5" ht="12">
      <c r="A65" s="3" t="s">
        <v>210</v>
      </c>
      <c r="B65" s="3" t="s">
        <v>214</v>
      </c>
      <c r="D65" s="26">
        <f>D35*C8/C7</f>
        <v>160</v>
      </c>
      <c r="E65" s="7" t="s">
        <v>18</v>
      </c>
    </row>
    <row r="66" spans="1:4" ht="12">
      <c r="A66" s="3"/>
      <c r="B66" s="3"/>
      <c r="D66" s="26"/>
    </row>
    <row r="67" spans="1:4" ht="12">
      <c r="A67" s="2" t="s">
        <v>215</v>
      </c>
      <c r="B67" s="3"/>
      <c r="D67" s="26"/>
    </row>
    <row r="68" spans="1:5" ht="12">
      <c r="A68" s="3" t="s">
        <v>216</v>
      </c>
      <c r="B68" s="3" t="s">
        <v>170</v>
      </c>
      <c r="D68" s="26">
        <f>(((D34+D35)*D57*C11/C7)+((D38*D56)*0.5))*D58</f>
        <v>3414.035</v>
      </c>
      <c r="E68" s="7" t="s">
        <v>18</v>
      </c>
    </row>
    <row r="69" spans="1:5" ht="13.5">
      <c r="A69" s="3" t="s">
        <v>217</v>
      </c>
      <c r="B69" s="3" t="s">
        <v>130</v>
      </c>
      <c r="D69" s="26">
        <f>D68/E19</f>
        <v>2.0817286585365853</v>
      </c>
      <c r="E69" s="7" t="s">
        <v>26</v>
      </c>
    </row>
    <row r="70" spans="1:5" ht="12">
      <c r="A70" s="3" t="s">
        <v>218</v>
      </c>
      <c r="B70" s="3" t="s">
        <v>131</v>
      </c>
      <c r="D70" s="26">
        <f>SQRT(3*D69*D69)</f>
        <v>3.6056598041575683</v>
      </c>
      <c r="E70" s="7" t="s">
        <v>26</v>
      </c>
    </row>
    <row r="71" spans="1:4" ht="12">
      <c r="A71" s="3"/>
      <c r="B71" s="3"/>
      <c r="D71" s="26"/>
    </row>
    <row r="72" spans="1:4" ht="12">
      <c r="A72" s="2" t="s">
        <v>219</v>
      </c>
      <c r="B72" s="3"/>
      <c r="D72" s="26"/>
    </row>
    <row r="73" spans="1:5" ht="12">
      <c r="A73" s="3" t="s">
        <v>220</v>
      </c>
      <c r="B73" s="3" t="s">
        <v>170</v>
      </c>
      <c r="D73" s="26">
        <f>(((D34+D35)*D57*C8/C7)+((D38*D56)*0.5))*D58</f>
        <v>2394.035</v>
      </c>
      <c r="E73" s="7" t="s">
        <v>18</v>
      </c>
    </row>
    <row r="74" spans="1:5" ht="13.5">
      <c r="A74" s="3" t="s">
        <v>221</v>
      </c>
      <c r="B74" s="3" t="s">
        <v>130</v>
      </c>
      <c r="D74" s="26">
        <f>D73/E19</f>
        <v>1.45977743902439</v>
      </c>
      <c r="E74" s="7" t="s">
        <v>26</v>
      </c>
    </row>
    <row r="75" spans="1:5" ht="12">
      <c r="A75" s="3" t="s">
        <v>222</v>
      </c>
      <c r="B75" s="3" t="s">
        <v>131</v>
      </c>
      <c r="D75" s="26">
        <f>SQRT(3*D74*D74)</f>
        <v>2.528408692133022</v>
      </c>
      <c r="E75" s="7" t="s">
        <v>26</v>
      </c>
    </row>
    <row r="76" ht="12">
      <c r="D76" s="26"/>
    </row>
    <row r="77" spans="1:4" ht="12">
      <c r="A77" s="21" t="s">
        <v>171</v>
      </c>
      <c r="D77" s="26"/>
    </row>
    <row r="78" spans="1:5" ht="12">
      <c r="A78" s="7" t="s">
        <v>172</v>
      </c>
      <c r="B78" s="7" t="s">
        <v>170</v>
      </c>
      <c r="D78" s="26">
        <f>(((D34+D35)*D57*MAX(C8,C11)/C7)+((D38*D56)*0.5*((-MIN(C8,C11)+(C7/2))/(C7/2))))*D58</f>
        <v>3130.807</v>
      </c>
      <c r="E78" s="7" t="s">
        <v>18</v>
      </c>
    </row>
    <row r="79" spans="1:5" ht="12">
      <c r="A79" s="7" t="s">
        <v>174</v>
      </c>
      <c r="B79" s="7" t="s">
        <v>126</v>
      </c>
      <c r="D79" s="26">
        <f>((D34*C8*C11/C7*D57)+(D38*0.5*C8*C11/C7*D56))*D58</f>
        <v>5824842</v>
      </c>
      <c r="E79" s="7" t="s">
        <v>59</v>
      </c>
    </row>
    <row r="80" spans="1:5" ht="12">
      <c r="A80" s="7" t="s">
        <v>173</v>
      </c>
      <c r="B80" s="7" t="s">
        <v>127</v>
      </c>
      <c r="D80" s="26">
        <f>(D35*C8*C11/C7*D57)*D58</f>
        <v>720000</v>
      </c>
      <c r="E80" s="7" t="s">
        <v>59</v>
      </c>
    </row>
    <row r="81" spans="1:5" ht="12">
      <c r="A81" s="7" t="s">
        <v>176</v>
      </c>
      <c r="B81" s="7" t="s">
        <v>128</v>
      </c>
      <c r="D81" s="26">
        <f>D79*0.5*I19/F19</f>
        <v>75.36764140480591</v>
      </c>
      <c r="E81" s="7" t="s">
        <v>26</v>
      </c>
    </row>
    <row r="82" spans="1:5" ht="12">
      <c r="A82" s="7" t="s">
        <v>177</v>
      </c>
      <c r="B82" s="7" t="s">
        <v>129</v>
      </c>
      <c r="D82" s="26">
        <f>D80*0.5*J19/G19</f>
        <v>58.530066815144764</v>
      </c>
      <c r="E82" s="7" t="s">
        <v>26</v>
      </c>
    </row>
    <row r="83" spans="1:5" ht="13.5">
      <c r="A83" s="7" t="s">
        <v>178</v>
      </c>
      <c r="B83" s="7" t="s">
        <v>130</v>
      </c>
      <c r="D83" s="26">
        <f>D78/E19</f>
        <v>1.9090286585365852</v>
      </c>
      <c r="E83" s="7" t="s">
        <v>26</v>
      </c>
    </row>
    <row r="84" spans="1:5" ht="12">
      <c r="A84" s="7" t="s">
        <v>179</v>
      </c>
      <c r="B84" s="7" t="s">
        <v>131</v>
      </c>
      <c r="D84" s="26">
        <f>SQRT((D81*D81)+(D82*D82)+(3*D83*D83))</f>
        <v>95.4828951360717</v>
      </c>
      <c r="E84" s="7" t="s">
        <v>26</v>
      </c>
    </row>
    <row r="85" ht="12">
      <c r="D85" s="26"/>
    </row>
    <row r="86" spans="1:4" ht="12">
      <c r="A86" s="21" t="s">
        <v>175</v>
      </c>
      <c r="D86" s="26"/>
    </row>
    <row r="87" spans="1:5" ht="12">
      <c r="A87" s="7" t="s">
        <v>180</v>
      </c>
      <c r="B87" s="7" t="s">
        <v>170</v>
      </c>
      <c r="D87" s="26">
        <f>(((D34+D35)*D57*MIN(C8,C11)/C7))*D58</f>
        <v>2040</v>
      </c>
      <c r="E87" s="7" t="s">
        <v>18</v>
      </c>
    </row>
    <row r="88" spans="1:5" ht="12">
      <c r="A88" s="7" t="s">
        <v>181</v>
      </c>
      <c r="B88" s="7" t="s">
        <v>126</v>
      </c>
      <c r="D88" s="26">
        <f>((D34*MIN(C8,C11)*0.5*D57)+(D38*C7/8*D56))*D58</f>
        <v>4942543.75</v>
      </c>
      <c r="E88" s="7" t="s">
        <v>59</v>
      </c>
    </row>
    <row r="89" spans="1:5" ht="12">
      <c r="A89" s="7" t="s">
        <v>182</v>
      </c>
      <c r="B89" s="7" t="s">
        <v>127</v>
      </c>
      <c r="D89" s="26">
        <f>((D35*MIN(C8,C11)*0.5*D57)*D58)</f>
        <v>600000</v>
      </c>
      <c r="E89" s="7" t="s">
        <v>59</v>
      </c>
    </row>
    <row r="90" spans="1:5" ht="12">
      <c r="A90" s="7" t="s">
        <v>183</v>
      </c>
      <c r="B90" s="7" t="s">
        <v>128</v>
      </c>
      <c r="D90" s="26">
        <f>D88*0.5*I19/F19</f>
        <v>63.95158271719039</v>
      </c>
      <c r="E90" s="7" t="s">
        <v>26</v>
      </c>
    </row>
    <row r="91" spans="1:5" ht="12">
      <c r="A91" s="7" t="s">
        <v>184</v>
      </c>
      <c r="B91" s="7" t="s">
        <v>129</v>
      </c>
      <c r="D91" s="26">
        <f>D89*0.5*J19/G19</f>
        <v>48.775055679287306</v>
      </c>
      <c r="E91" s="7" t="s">
        <v>26</v>
      </c>
    </row>
    <row r="92" spans="1:5" ht="13.5">
      <c r="A92" s="7" t="s">
        <v>185</v>
      </c>
      <c r="B92" s="7" t="s">
        <v>130</v>
      </c>
      <c r="D92" s="26">
        <f>D87/E19</f>
        <v>1.2439024390243902</v>
      </c>
      <c r="E92" s="7" t="s">
        <v>26</v>
      </c>
    </row>
    <row r="93" spans="1:5" ht="12">
      <c r="A93" s="7" t="s">
        <v>186</v>
      </c>
      <c r="B93" s="7" t="s">
        <v>131</v>
      </c>
      <c r="D93" s="26">
        <f>SQRT((D90*D90)+(D91*D91)+(3*D92*D92))</f>
        <v>80.45777071473367</v>
      </c>
      <c r="E93" s="7" t="s">
        <v>26</v>
      </c>
    </row>
    <row r="94" ht="12">
      <c r="D94" s="26"/>
    </row>
    <row r="95" spans="1:4" ht="12">
      <c r="A95" s="5" t="s">
        <v>132</v>
      </c>
      <c r="C95" s="12" t="s">
        <v>107</v>
      </c>
      <c r="D95" s="31"/>
    </row>
    <row r="96" spans="1:5" ht="12">
      <c r="A96" s="12" t="s">
        <v>133</v>
      </c>
      <c r="B96" s="12" t="s">
        <v>134</v>
      </c>
      <c r="D96" s="31">
        <f>D$43/D$55</f>
        <v>194.21487603305786</v>
      </c>
      <c r="E96" s="7" t="s">
        <v>26</v>
      </c>
    </row>
    <row r="97" spans="1:5" ht="12">
      <c r="A97" s="7" t="s">
        <v>135</v>
      </c>
      <c r="B97" s="7" t="s">
        <v>69</v>
      </c>
      <c r="D97" s="26">
        <f>MAX(D70,D75,D84,D93)/D96</f>
        <v>0.49163533240275215</v>
      </c>
      <c r="E97" s="26" t="s">
        <v>21</v>
      </c>
    </row>
    <row r="98" spans="2:5" ht="12">
      <c r="B98" s="7" t="s">
        <v>70</v>
      </c>
      <c r="D98" s="31" t="str">
        <f>IF(D97&lt;1,"OK","Ikke OK")</f>
        <v>OK</v>
      </c>
      <c r="E98" s="26" t="s">
        <v>21</v>
      </c>
    </row>
    <row r="99" ht="12">
      <c r="D99" s="26"/>
    </row>
    <row r="100" spans="1:4" ht="12">
      <c r="A100" s="21" t="s">
        <v>188</v>
      </c>
      <c r="D100" s="26"/>
    </row>
    <row r="101" spans="1:6" ht="12">
      <c r="A101" s="7" t="s">
        <v>190</v>
      </c>
      <c r="B101" s="7" t="s">
        <v>193</v>
      </c>
      <c r="D101" s="26">
        <f>D38*C7*C7*F101*(1-(2*POWER(F101/C7,2))+(POWER(F101/C7,3)))/(24*D59*F19)</f>
        <v>0.8782105448464044</v>
      </c>
      <c r="E101" s="7" t="s">
        <v>1</v>
      </c>
      <c r="F101" s="7">
        <f>MIN(C8,C11)</f>
        <v>2000</v>
      </c>
    </row>
    <row r="102" spans="1:5" ht="12">
      <c r="A102" s="7" t="s">
        <v>191</v>
      </c>
      <c r="B102" s="7" t="s">
        <v>194</v>
      </c>
      <c r="D102" s="26">
        <f>D34*C8*C8*C11*C11/(3*D59*F19*C7)</f>
        <v>6.337470293108001</v>
      </c>
      <c r="E102" s="7" t="s">
        <v>1</v>
      </c>
    </row>
    <row r="103" spans="1:5" ht="12">
      <c r="A103" s="7" t="s">
        <v>189</v>
      </c>
      <c r="B103" s="7" t="s">
        <v>192</v>
      </c>
      <c r="D103" s="26">
        <f>D101+D102</f>
        <v>7.215680837954405</v>
      </c>
      <c r="E103" s="7" t="s">
        <v>1</v>
      </c>
    </row>
    <row r="104" spans="1:5" ht="12">
      <c r="A104" s="7" t="s">
        <v>195</v>
      </c>
      <c r="B104" s="7" t="s">
        <v>201</v>
      </c>
      <c r="D104" s="26">
        <f>D35*C8*C8*C11*C11/(3*D59*G19*C7)</f>
        <v>10.181355392936684</v>
      </c>
      <c r="E104" s="7" t="s">
        <v>1</v>
      </c>
    </row>
    <row r="105" ht="12">
      <c r="D105" s="26"/>
    </row>
    <row r="106" spans="1:4" ht="12">
      <c r="A106" s="21" t="s">
        <v>187</v>
      </c>
      <c r="D106" s="26"/>
    </row>
    <row r="107" spans="1:6" ht="12">
      <c r="A107" s="7" t="s">
        <v>197</v>
      </c>
      <c r="B107" s="7" t="s">
        <v>193</v>
      </c>
      <c r="D107" s="26">
        <f>D38*C7*C7*F107*(1-(2*POWER(F107/C7,2))+(POWER(F107/C7,3)))/(24*D59*F19)</f>
        <v>0.9221800916145879</v>
      </c>
      <c r="E107" s="7" t="s">
        <v>1</v>
      </c>
      <c r="F107" s="7">
        <f>C7/2</f>
        <v>2500</v>
      </c>
    </row>
    <row r="108" spans="1:5" ht="12">
      <c r="A108" s="7" t="s">
        <v>198</v>
      </c>
      <c r="B108" s="7" t="s">
        <v>194</v>
      </c>
      <c r="D108" s="26">
        <f>D34*F101*((3*C7*C7)-(4*F101*F101))/(48*D59*F19)</f>
        <v>6.4915060293988205</v>
      </c>
      <c r="E108" s="7" t="s">
        <v>1</v>
      </c>
    </row>
    <row r="109" spans="1:5" ht="12">
      <c r="A109" s="7" t="s">
        <v>199</v>
      </c>
      <c r="B109" s="7" t="s">
        <v>192</v>
      </c>
      <c r="D109" s="26">
        <f>D107+D108</f>
        <v>7.413686121013408</v>
      </c>
      <c r="E109" s="7" t="s">
        <v>1</v>
      </c>
    </row>
    <row r="110" spans="1:5" ht="12">
      <c r="A110" s="7" t="s">
        <v>200</v>
      </c>
      <c r="B110" s="7" t="s">
        <v>201</v>
      </c>
      <c r="D110" s="26">
        <f>D35*F101*((3*C7*C7)-(4*F101*F101))/(48*D59*G19)</f>
        <v>10.428818892070563</v>
      </c>
      <c r="E110" s="7" t="s">
        <v>1</v>
      </c>
    </row>
    <row r="111" ht="12">
      <c r="D111" s="26"/>
    </row>
    <row r="112" spans="1:4" ht="12">
      <c r="A112" s="21" t="s">
        <v>196</v>
      </c>
      <c r="D112" s="26"/>
    </row>
    <row r="113" spans="1:5" ht="12">
      <c r="A113" s="7" t="s">
        <v>136</v>
      </c>
      <c r="B113" s="7" t="s">
        <v>68</v>
      </c>
      <c r="C113" s="12" t="s">
        <v>72</v>
      </c>
      <c r="D113" s="26">
        <f>C$7/400</f>
        <v>12.5</v>
      </c>
      <c r="E113" s="7" t="s">
        <v>1</v>
      </c>
    </row>
    <row r="114" spans="1:5" ht="12">
      <c r="A114" s="7" t="s">
        <v>137</v>
      </c>
      <c r="B114" s="7" t="s">
        <v>139</v>
      </c>
      <c r="D114" s="26">
        <f>MAX(D103,D109)/D113</f>
        <v>0.5930948896810727</v>
      </c>
      <c r="E114" s="26" t="s">
        <v>21</v>
      </c>
    </row>
    <row r="115" spans="1:5" ht="12">
      <c r="A115" s="7" t="s">
        <v>138</v>
      </c>
      <c r="B115" s="7" t="s">
        <v>140</v>
      </c>
      <c r="D115" s="26">
        <f>MAX(D104,D110)/D113</f>
        <v>0.834305511365645</v>
      </c>
      <c r="E115" s="26" t="s">
        <v>21</v>
      </c>
    </row>
    <row r="116" spans="2:5" ht="12">
      <c r="B116" s="7" t="s">
        <v>71</v>
      </c>
      <c r="D116" s="31" t="str">
        <f>IF(MAX(D115,D114)&lt;1,"OK","Ikke OK")</f>
        <v>OK</v>
      </c>
      <c r="E116" s="26" t="s">
        <v>21</v>
      </c>
    </row>
  </sheetData>
  <sheetProtection password="C447" sheet="1" objects="1" scenarios="1" selectLockedCells="1" selectUn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Rahbek</dc:creator>
  <cp:keywords/>
  <dc:description/>
  <cp:lastModifiedBy>Anders Rahbek</cp:lastModifiedBy>
  <cp:lastPrinted>2016-02-09T10:15:23Z</cp:lastPrinted>
  <dcterms:created xsi:type="dcterms:W3CDTF">2009-10-07T09:18:50Z</dcterms:created>
  <dcterms:modified xsi:type="dcterms:W3CDTF">2016-02-09T10:16:01Z</dcterms:modified>
  <cp:category/>
  <cp:version/>
  <cp:contentType/>
  <cp:contentStatus/>
</cp:coreProperties>
</file>